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0"/>
  </bookViews>
  <sheets>
    <sheet name="Смета 2013 г." sheetId="1" r:id="rId1"/>
  </sheets>
  <definedNames>
    <definedName name="_xlnm.Print_Titles" localSheetId="0">'Смета 2013 г.'!$1:$7</definedName>
    <definedName name="_xlnm.Print_Area" localSheetId="0">'Смета 2013 г.'!$A$1:$W$233</definedName>
  </definedNames>
  <calcPr fullCalcOnLoad="1"/>
</workbook>
</file>

<file path=xl/comments1.xml><?xml version="1.0" encoding="utf-8"?>
<comments xmlns="http://schemas.openxmlformats.org/spreadsheetml/2006/main">
  <authors>
    <author>tkalmikova</author>
  </authors>
  <commentList>
    <comment ref="A183" authorId="0">
      <text>
        <r>
          <rPr>
            <b/>
            <sz val="8"/>
            <rFont val="Tahoma"/>
            <family val="0"/>
          </rPr>
          <t>tkalmikova: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<sst xmlns="http://schemas.openxmlformats.org/spreadsheetml/2006/main" count="689" uniqueCount="216">
  <si>
    <t xml:space="preserve">ИНН </t>
  </si>
  <si>
    <t xml:space="preserve">КПП </t>
  </si>
  <si>
    <t>№  п/п</t>
  </si>
  <si>
    <t>Статьи затрат</t>
  </si>
  <si>
    <t>Ед.изм.</t>
  </si>
  <si>
    <t>Примечание</t>
  </si>
  <si>
    <t>Данные предприятия</t>
  </si>
  <si>
    <t xml:space="preserve">К утверждению ЕТО </t>
  </si>
  <si>
    <t>Годовые затраты по статьям</t>
  </si>
  <si>
    <t>Рост,         %</t>
  </si>
  <si>
    <t>К утверждению ЕТО</t>
  </si>
  <si>
    <t>Отклонение по статьям</t>
  </si>
  <si>
    <t>Удельный вес,         %</t>
  </si>
  <si>
    <t>Тариф</t>
  </si>
  <si>
    <t>Рост к 2011 г.,         %</t>
  </si>
  <si>
    <t>Рост к 07.2012 г.,         %</t>
  </si>
  <si>
    <t>Отклонение по статьям (гр9-гр5)</t>
  </si>
  <si>
    <t>Выработка т/энергии</t>
  </si>
  <si>
    <t>Гкал</t>
  </si>
  <si>
    <t>на природном газе</t>
  </si>
  <si>
    <t>на угле</t>
  </si>
  <si>
    <t>на мазуте</t>
  </si>
  <si>
    <t>на дизельном топливе</t>
  </si>
  <si>
    <t>на дровах</t>
  </si>
  <si>
    <t>на печном топливе</t>
  </si>
  <si>
    <t>на нефти</t>
  </si>
  <si>
    <t>на электроэнергии</t>
  </si>
  <si>
    <t>с/нужды</t>
  </si>
  <si>
    <t>%</t>
  </si>
  <si>
    <t>Отпуск в сеть</t>
  </si>
  <si>
    <t>Потери в сетях</t>
  </si>
  <si>
    <t>Полезный отпуск</t>
  </si>
  <si>
    <t xml:space="preserve">Топливо </t>
  </si>
  <si>
    <t>-</t>
  </si>
  <si>
    <t>Природный газ</t>
  </si>
  <si>
    <t>Удельная норма расхода условного топлива</t>
  </si>
  <si>
    <t>кг у.т./Гкал</t>
  </si>
  <si>
    <t>Топлив. коэффициент</t>
  </si>
  <si>
    <t>Расход натурального топлива</t>
  </si>
  <si>
    <t>тыс. м3</t>
  </si>
  <si>
    <t>Цена топлива</t>
  </si>
  <si>
    <t>руб/тыс.м3</t>
  </si>
  <si>
    <t>в т.ч. тариф на трансп-ку</t>
  </si>
  <si>
    <t>Уголь</t>
  </si>
  <si>
    <t>тн</t>
  </si>
  <si>
    <t>руб/тн</t>
  </si>
  <si>
    <t>Мазут</t>
  </si>
  <si>
    <t>Дизельное топливо</t>
  </si>
  <si>
    <t>Дрова</t>
  </si>
  <si>
    <t>Печное топливо</t>
  </si>
  <si>
    <t>Нефть</t>
  </si>
  <si>
    <t>Электроэнергия</t>
  </si>
  <si>
    <t>Удельная норма расхода эл.энергии</t>
  </si>
  <si>
    <t>тыс.кВт/ч</t>
  </si>
  <si>
    <t>НН (0,4 кВ и ниже)</t>
  </si>
  <si>
    <t>x</t>
  </si>
  <si>
    <t>СН 2 (1 - 20 кВ)</t>
  </si>
  <si>
    <t>СН 1 (35 кВ)</t>
  </si>
  <si>
    <t>ВН  (110 кВ и выше)</t>
  </si>
  <si>
    <t>В том числе:</t>
  </si>
  <si>
    <t>Расход эл.энергии</t>
  </si>
  <si>
    <t>Цена эл.энергии</t>
  </si>
  <si>
    <t>руб/кВт/ч</t>
  </si>
  <si>
    <t>Число часов использования мощности</t>
  </si>
  <si>
    <t>часы</t>
  </si>
  <si>
    <t>Ставка за мощность</t>
  </si>
  <si>
    <t>руб/кВт/мес.</t>
  </si>
  <si>
    <t>х</t>
  </si>
  <si>
    <t>Среднемесячный объем мощности</t>
  </si>
  <si>
    <t>тыс. кВт</t>
  </si>
  <si>
    <t>Вода</t>
  </si>
  <si>
    <t>Удельная норма расхода воды</t>
  </si>
  <si>
    <t>м3/Гкал</t>
  </si>
  <si>
    <t>Расход воды</t>
  </si>
  <si>
    <t>тыс.м3</t>
  </si>
  <si>
    <t>Цена воды</t>
  </si>
  <si>
    <t>руб/м3</t>
  </si>
  <si>
    <t>Затраты</t>
  </si>
  <si>
    <t>Топливо, в т.ч.</t>
  </si>
  <si>
    <t>Тыс.руб</t>
  </si>
  <si>
    <t>природный газ</t>
  </si>
  <si>
    <t>уголь</t>
  </si>
  <si>
    <t>мазут</t>
  </si>
  <si>
    <t>дизельное топливо</t>
  </si>
  <si>
    <t>дрова</t>
  </si>
  <si>
    <t>печное топливо</t>
  </si>
  <si>
    <t>нефть</t>
  </si>
  <si>
    <t>НН</t>
  </si>
  <si>
    <t>СН 2</t>
  </si>
  <si>
    <t>СН 1</t>
  </si>
  <si>
    <t>ВН</t>
  </si>
  <si>
    <t>Материалы</t>
  </si>
  <si>
    <t>Затраты на оплату труда</t>
  </si>
  <si>
    <t>Средняя зарплата ОПР</t>
  </si>
  <si>
    <t>руб./чел.</t>
  </si>
  <si>
    <t>Численность</t>
  </si>
  <si>
    <t>чел.</t>
  </si>
  <si>
    <t>Амортизация</t>
  </si>
  <si>
    <t>Затраты производст. характера, в т.ч.:</t>
  </si>
  <si>
    <t>сод. оборуд.</t>
  </si>
  <si>
    <t>затраты на ремонт</t>
  </si>
  <si>
    <t>сод. транспорта</t>
  </si>
  <si>
    <t>Цеховые расходы,         в т.ч.:</t>
  </si>
  <si>
    <t>оплата труда</t>
  </si>
  <si>
    <t xml:space="preserve">Средняя зарплата </t>
  </si>
  <si>
    <t>другие расходы</t>
  </si>
  <si>
    <t>Общехозяйств. расходы, в т.ч.:</t>
  </si>
  <si>
    <t>Прочие расходы, в т.ч.</t>
  </si>
  <si>
    <t>ср-ва на страхование</t>
  </si>
  <si>
    <t>арендная плата</t>
  </si>
  <si>
    <t>охрана труда</t>
  </si>
  <si>
    <t>Налоги и сборы, в т.ч.</t>
  </si>
  <si>
    <t>налог на землю</t>
  </si>
  <si>
    <t>плата за экологию</t>
  </si>
  <si>
    <t>налог на имущество</t>
  </si>
  <si>
    <t>Затраты на покупную тепловую энергию</t>
  </si>
  <si>
    <t>Итого затрат:</t>
  </si>
  <si>
    <t xml:space="preserve">Себестоимость      </t>
  </si>
  <si>
    <t>руб./Гкал</t>
  </si>
  <si>
    <t>Рентабельность</t>
  </si>
  <si>
    <t>Прибыль, в т.ч.</t>
  </si>
  <si>
    <t>Тыс.руб.</t>
  </si>
  <si>
    <t>на развитие производства (инвестиционные и производственные программы)</t>
  </si>
  <si>
    <t xml:space="preserve">на социальное развитие </t>
  </si>
  <si>
    <t>на поощрение</t>
  </si>
  <si>
    <t>на прочие цели, в т.ч.</t>
  </si>
  <si>
    <t>капитальный ремонт</t>
  </si>
  <si>
    <t>налоги и сборы, в т.ч.</t>
  </si>
  <si>
    <t>н-г на прибыль</t>
  </si>
  <si>
    <t>Услуги сл. Заказчика</t>
  </si>
  <si>
    <t>Выпадающие доходы</t>
  </si>
  <si>
    <t>Необходимая валовая выручка (НВВ)</t>
  </si>
  <si>
    <t>Среднеотпускной тариф</t>
  </si>
  <si>
    <t>Группы потребителей</t>
  </si>
  <si>
    <t>Вариант ЕТО на 2012 год, руб/Гкал</t>
  </si>
  <si>
    <t>Вариант адм. на 2012 год,          руб./Гкал</t>
  </si>
  <si>
    <t>Рост,                              %</t>
  </si>
  <si>
    <t>С 01.07.                  2012 г.</t>
  </si>
  <si>
    <t>С 01.09.    2012 г.</t>
  </si>
  <si>
    <t>Рост к 07.12,         %</t>
  </si>
  <si>
    <t>Бюджетные организации, в т.ч.</t>
  </si>
  <si>
    <t>федеральный бюджет</t>
  </si>
  <si>
    <t>областной бюджет</t>
  </si>
  <si>
    <t>местный бюджет</t>
  </si>
  <si>
    <t>2.1.</t>
  </si>
  <si>
    <t xml:space="preserve">Население </t>
  </si>
  <si>
    <t>многоквартирный жилой фонд</t>
  </si>
  <si>
    <t>частный сектор</t>
  </si>
  <si>
    <t>2.2.</t>
  </si>
  <si>
    <t>Организации-перепродавцы</t>
  </si>
  <si>
    <t>2.3.</t>
  </si>
  <si>
    <t xml:space="preserve">Прочие потребители </t>
  </si>
  <si>
    <t>Собственное потребление</t>
  </si>
  <si>
    <t>Итого</t>
  </si>
  <si>
    <t xml:space="preserve">Первый заместитель председателя комитета                                                                            </t>
  </si>
  <si>
    <t xml:space="preserve">С.В. Терещук </t>
  </si>
  <si>
    <t xml:space="preserve">Начальник экспертного отдела                                                                                                    </t>
  </si>
  <si>
    <t xml:space="preserve">Г.В. Юдина </t>
  </si>
  <si>
    <t>Консультант</t>
  </si>
  <si>
    <t>Полезный отпуск на отопление по нормативу Гкал (гр.4*гр.5)</t>
  </si>
  <si>
    <t>Годовой норматив на отопле-ние, Гкал/кв.м</t>
  </si>
  <si>
    <t>Отапливаемая площадь по нормати-ву, кв.м.</t>
  </si>
  <si>
    <t>Полезный отпуск на отопление по счетчикам, Гкал</t>
  </si>
  <si>
    <t>Полез-ный отпуск на ГВС по нормати-ву             Гкал (гр.8*гр.9*гр.10)</t>
  </si>
  <si>
    <t>Норма-тив на ГВС, Гкал на чел. в месяц</t>
  </si>
  <si>
    <t>Количест-во месяцев предоставления услуги ГВС</t>
  </si>
  <si>
    <t>Количество человек оплачи-вающих ГВС по норма-тиву, чел.</t>
  </si>
  <si>
    <t>Полезный отпуск на ГВС по счетчикам, Гкал</t>
  </si>
  <si>
    <t>Руководитель организации</t>
  </si>
  <si>
    <t>Согласовано органом местного</t>
  </si>
  <si>
    <t>самоуправления:</t>
  </si>
  <si>
    <t>Факт               2011 г.</t>
  </si>
  <si>
    <t>Общий объем эл/энергии</t>
  </si>
  <si>
    <t>Отчисления на социальные нужды</t>
  </si>
  <si>
    <t>Расчет полезного отпуска тепловой энергии на 2013 год</t>
  </si>
  <si>
    <t xml:space="preserve">Полезный отпуск  на 2013 г., Гкал </t>
  </si>
  <si>
    <t>По данным предприятия</t>
  </si>
  <si>
    <t>Доходы                     2013 г.,                              тыс. руб.</t>
  </si>
  <si>
    <t>Организации-п/продавцы</t>
  </si>
  <si>
    <t>многоквартирный ж/фонд</t>
  </si>
  <si>
    <t>Покупка т/энергии</t>
  </si>
  <si>
    <t>с 01.01.            2012 г.</t>
  </si>
  <si>
    <t xml:space="preserve"> с 01.09.      2012 г.</t>
  </si>
  <si>
    <t>Полезный отпуск,                                                       Гкал</t>
  </si>
  <si>
    <t xml:space="preserve"> Регулируемый период 2013 г.</t>
  </si>
  <si>
    <t>2011 г.</t>
  </si>
  <si>
    <t xml:space="preserve">Тариф  </t>
  </si>
  <si>
    <t>2012 г.</t>
  </si>
  <si>
    <t xml:space="preserve">Ожидаемое </t>
  </si>
  <si>
    <t xml:space="preserve">Факт             1                    квартал  </t>
  </si>
  <si>
    <t xml:space="preserve">утверждено </t>
  </si>
  <si>
    <t>факт</t>
  </si>
  <si>
    <t>Полезный отпуск,  Гкал</t>
  </si>
  <si>
    <t>Действ. тарифы                 руб/Гкал</t>
  </si>
  <si>
    <t>2013 г.</t>
  </si>
  <si>
    <t>Действующий тариф,                   с 01.01.</t>
  </si>
  <si>
    <t>Действующий тариф,               с 01.09.</t>
  </si>
  <si>
    <t>Тариф, руб./Гкал</t>
  </si>
  <si>
    <t>утвержденный                     с 01.01.           2012 г.</t>
  </si>
  <si>
    <t>фактический  за 1 квартала 2012 г.</t>
  </si>
  <si>
    <t>ожида        емый             2012 г.</t>
  </si>
  <si>
    <t>утвержденный                    с 01.09.           2012 г.</t>
  </si>
  <si>
    <t>Действ. тарифы                                                             руб./Гкал</t>
  </si>
  <si>
    <t>Убыток (прибыль)</t>
  </si>
  <si>
    <t xml:space="preserve">Плановые убытки, обусловленные снижением тарифа для населения </t>
  </si>
  <si>
    <t>Указать тарифы по видам транспортировки отдельно (ж/д-, автоперевозки)</t>
  </si>
  <si>
    <t>Объем тепловой энергии, теплоносителя по договору оказания услуг по передаче тепловой энергии, заключенного с теплосетевой организацией (по данным теплосетевой организации), основание-п.6 ст.13 и п. 3 ст. 17 №190-ФЗ</t>
  </si>
  <si>
    <t>Итого полезный отпуск                                  на 2013 год,                           Гкал (гр.3+гр.6+гр.7+ гр.11)</t>
  </si>
  <si>
    <t>Т.М. Калмыкова</t>
  </si>
  <si>
    <t>Доходы  плановые,  тыс. руб.</t>
  </si>
  <si>
    <t>Доходы  фактические,  тыс. руб.</t>
  </si>
  <si>
    <t>количество котельных -1 ед</t>
  </si>
  <si>
    <t>протяженность сетей -3,615  км</t>
  </si>
  <si>
    <t xml:space="preserve">Тарифы по группам потребителей  (НДС не предусмотрен) </t>
  </si>
  <si>
    <t>Расчет полезного отпуска тепловой энергии на 2013 г  от котельной ОАО КАЗ</t>
  </si>
  <si>
    <t>Смета затрат и расчет тарифа на тепловую энергию, вырабатываемую  котельной  № 14 ОАО КАЗ на 2013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</si>
</sst>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#,##0.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3">
    <font>
      <sz val="10"/>
      <name val="Arial"/>
      <family val="0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8"/>
      <name val="Arial"/>
      <family val="0"/>
    </font>
    <font>
      <sz val="7"/>
      <name val="Arial"/>
      <family val="0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40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4" fontId="7" fillId="22" borderId="10" xfId="0" applyNumberFormat="1" applyFont="1" applyFill="1" applyBorder="1" applyAlignment="1" applyProtection="1">
      <alignment horizontal="center" vertical="center"/>
      <protection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9" fillId="0" borderId="0" xfId="0" applyNumberFormat="1" applyFont="1" applyFill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center" vertical="center"/>
      <protection locked="0"/>
    </xf>
    <xf numFmtId="4" fontId="3" fillId="22" borderId="10" xfId="53" applyNumberFormat="1" applyFont="1" applyFill="1" applyBorder="1" applyAlignment="1" applyProtection="1">
      <alignment horizontal="center" vertical="center"/>
      <protection locked="0"/>
    </xf>
    <xf numFmtId="181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4" fontId="3" fillId="22" borderId="10" xfId="0" applyNumberFormat="1" applyFont="1" applyFill="1" applyBorder="1" applyAlignment="1" applyProtection="1">
      <alignment horizontal="center" vertical="center"/>
      <protection locked="0"/>
    </xf>
    <xf numFmtId="0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22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" fontId="7" fillId="22" borderId="10" xfId="0" applyNumberFormat="1" applyFont="1" applyFill="1" applyBorder="1" applyAlignment="1" applyProtection="1">
      <alignment horizontal="center" vertical="center"/>
      <protection locked="0"/>
    </xf>
    <xf numFmtId="4" fontId="7" fillId="22" borderId="10" xfId="53" applyNumberFormat="1" applyFont="1" applyFill="1" applyBorder="1" applyAlignment="1" applyProtection="1">
      <alignment horizontal="center" vertical="center"/>
      <protection locked="0"/>
    </xf>
    <xf numFmtId="4" fontId="7" fillId="22" borderId="10" xfId="0" applyNumberFormat="1" applyFon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22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 applyProtection="1">
      <alignment horizontal="left" vertical="center" wrapText="1"/>
      <protection/>
    </xf>
    <xf numFmtId="4" fontId="3" fillId="2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10" xfId="0" applyNumberFormat="1" applyFont="1" applyBorder="1" applyAlignment="1">
      <alignment horizontal="center" vertical="center" wrapText="1"/>
    </xf>
    <xf numFmtId="4" fontId="3" fillId="22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24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vertical="center"/>
      <protection/>
    </xf>
    <xf numFmtId="2" fontId="7" fillId="2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22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22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6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2" fontId="10" fillId="24" borderId="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 applyProtection="1">
      <alignment horizontal="left" vertical="center" wrapText="1"/>
      <protection/>
    </xf>
    <xf numFmtId="2" fontId="7" fillId="4" borderId="10" xfId="0" applyNumberFormat="1" applyFont="1" applyFill="1" applyBorder="1" applyAlignment="1" applyProtection="1">
      <alignment horizontal="center" vertical="center"/>
      <protection locked="0"/>
    </xf>
    <xf numFmtId="180" fontId="7" fillId="4" borderId="10" xfId="0" applyNumberFormat="1" applyFont="1" applyFill="1" applyBorder="1" applyAlignment="1">
      <alignment horizontal="center" vertical="center" wrapText="1"/>
    </xf>
    <xf numFmtId="181" fontId="7" fillId="4" borderId="10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>
      <alignment horizontal="center" vertical="center"/>
    </xf>
    <xf numFmtId="0" fontId="10" fillId="0" borderId="10" xfId="54" applyFont="1" applyFill="1" applyBorder="1" applyAlignment="1" applyProtection="1">
      <alignment horizontal="right" wrapText="1"/>
      <protection/>
    </xf>
    <xf numFmtId="0" fontId="15" fillId="0" borderId="10" xfId="54" applyFont="1" applyFill="1" applyBorder="1" applyAlignment="1" applyProtection="1">
      <alignment horizontal="center" wrapText="1"/>
      <protection/>
    </xf>
    <xf numFmtId="0" fontId="16" fillId="24" borderId="10" xfId="0" applyNumberFormat="1" applyFont="1" applyFill="1" applyBorder="1" applyAlignment="1" applyProtection="1">
      <alignment horizontal="center" vertical="center"/>
      <protection locked="0"/>
    </xf>
    <xf numFmtId="0" fontId="16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22" borderId="10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" fontId="6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left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24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0" applyFont="1" applyFill="1" applyBorder="1" applyAlignment="1" applyProtection="1">
      <alignment horizontal="left" vertical="center" wrapText="1"/>
      <protection locked="0"/>
    </xf>
    <xf numFmtId="0" fontId="10" fillId="24" borderId="10" xfId="0" applyFont="1" applyFill="1" applyBorder="1" applyAlignment="1" applyProtection="1">
      <alignment horizontal="center" vertical="center"/>
      <protection locked="0"/>
    </xf>
    <xf numFmtId="16" fontId="10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>
      <alignment horizontal="left" vertical="center" wrapText="1"/>
    </xf>
    <xf numFmtId="181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2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9" fillId="24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24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2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181" fontId="7" fillId="0" borderId="0" xfId="0" applyNumberFormat="1" applyFont="1" applyFill="1" applyBorder="1" applyAlignment="1" applyProtection="1">
      <alignment horizontal="center" vertical="center"/>
      <protection locked="0"/>
    </xf>
    <xf numFmtId="181" fontId="7" fillId="0" borderId="0" xfId="0" applyNumberFormat="1" applyFont="1" applyFill="1" applyBorder="1" applyAlignment="1" applyProtection="1">
      <alignment horizontal="center" vertical="center"/>
      <protection/>
    </xf>
    <xf numFmtId="181" fontId="7" fillId="4" borderId="10" xfId="0" applyNumberFormat="1" applyFont="1" applyFill="1" applyBorder="1" applyAlignment="1" applyProtection="1">
      <alignment horizontal="center" vertical="center" wrapText="1"/>
      <protection/>
    </xf>
    <xf numFmtId="2" fontId="3" fillId="4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6" fontId="10" fillId="24" borderId="0" xfId="0" applyNumberFormat="1" applyFont="1" applyFill="1" applyBorder="1" applyAlignment="1" applyProtection="1">
      <alignment horizontal="center" vertical="center"/>
      <protection locked="0"/>
    </xf>
    <xf numFmtId="0" fontId="10" fillId="24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4" borderId="11" xfId="0" applyNumberFormat="1" applyFont="1" applyFill="1" applyBorder="1" applyAlignment="1" applyProtection="1">
      <alignment horizontal="center" vertical="center" wrapText="1"/>
      <protection/>
    </xf>
    <xf numFmtId="1" fontId="10" fillId="24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3" fillId="24" borderId="10" xfId="0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vertical="center" wrapText="1"/>
      <protection/>
    </xf>
    <xf numFmtId="0" fontId="3" fillId="0" borderId="10" xfId="54" applyFont="1" applyFill="1" applyBorder="1" applyAlignment="1" applyProtection="1">
      <alignment horizontal="right" wrapText="1"/>
      <protection/>
    </xf>
    <xf numFmtId="0" fontId="3" fillId="24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2" fontId="3" fillId="0" borderId="13" xfId="0" applyNumberFormat="1" applyFont="1" applyFill="1" applyBorder="1" applyAlignment="1" applyProtection="1">
      <alignment horizontal="center" vertical="center" wrapText="1"/>
      <protection/>
    </xf>
    <xf numFmtId="2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2" fontId="3" fillId="4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10" xfId="0" applyNumberFormat="1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 applyProtection="1">
      <alignment horizontal="center" vertical="center" wrapText="1"/>
      <protection/>
    </xf>
    <xf numFmtId="2" fontId="3" fillId="25" borderId="10" xfId="0" applyNumberFormat="1" applyFont="1" applyFill="1" applyBorder="1" applyAlignment="1" applyProtection="1">
      <alignment horizontal="center" vertical="center"/>
      <protection locked="0"/>
    </xf>
    <xf numFmtId="2" fontId="3" fillId="25" borderId="10" xfId="0" applyNumberFormat="1" applyFont="1" applyFill="1" applyBorder="1" applyAlignment="1" applyProtection="1">
      <alignment horizontal="center" vertical="center"/>
      <protection/>
    </xf>
    <xf numFmtId="0" fontId="25" fillId="2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0" fillId="0" borderId="10" xfId="54" applyFont="1" applyFill="1" applyBorder="1" applyAlignment="1" applyProtection="1">
      <alignment wrapText="1"/>
      <protection/>
    </xf>
    <xf numFmtId="0" fontId="10" fillId="24" borderId="11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2" fontId="6" fillId="24" borderId="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vertical="center"/>
      <protection/>
    </xf>
    <xf numFmtId="4" fontId="7" fillId="4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vertical="center"/>
      <protection/>
    </xf>
    <xf numFmtId="0" fontId="10" fillId="26" borderId="10" xfId="0" applyFont="1" applyFill="1" applyBorder="1" applyAlignment="1">
      <alignment horizontal="center" vertical="center"/>
    </xf>
    <xf numFmtId="0" fontId="6" fillId="26" borderId="10" xfId="0" applyFont="1" applyFill="1" applyBorder="1" applyAlignment="1" applyProtection="1">
      <alignment horizontal="left" vertical="center" wrapText="1"/>
      <protection/>
    </xf>
    <xf numFmtId="0" fontId="3" fillId="26" borderId="10" xfId="0" applyFont="1" applyFill="1" applyBorder="1" applyAlignment="1" applyProtection="1">
      <alignment vertical="center"/>
      <protection/>
    </xf>
    <xf numFmtId="181" fontId="3" fillId="26" borderId="10" xfId="0" applyNumberFormat="1" applyFont="1" applyFill="1" applyBorder="1" applyAlignment="1" applyProtection="1">
      <alignment horizontal="center" vertical="center"/>
      <protection/>
    </xf>
    <xf numFmtId="181" fontId="3" fillId="26" borderId="10" xfId="0" applyNumberFormat="1" applyFont="1" applyFill="1" applyBorder="1" applyAlignment="1">
      <alignment horizontal="center" vertical="center" wrapText="1"/>
    </xf>
    <xf numFmtId="180" fontId="7" fillId="26" borderId="10" xfId="0" applyNumberFormat="1" applyFont="1" applyFill="1" applyBorder="1" applyAlignment="1">
      <alignment horizontal="center" vertical="center" wrapText="1"/>
    </xf>
    <xf numFmtId="181" fontId="7" fillId="26" borderId="10" xfId="0" applyNumberFormat="1" applyFont="1" applyFill="1" applyBorder="1" applyAlignment="1">
      <alignment horizontal="center" vertical="center" wrapText="1"/>
    </xf>
    <xf numFmtId="0" fontId="10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6" borderId="10" xfId="0" applyFont="1" applyFill="1" applyBorder="1" applyAlignment="1">
      <alignment horizontal="center" vertical="center"/>
    </xf>
    <xf numFmtId="181" fontId="7" fillId="26" borderId="10" xfId="0" applyNumberFormat="1" applyFont="1" applyFill="1" applyBorder="1" applyAlignment="1" applyProtection="1">
      <alignment horizontal="center" vertical="center"/>
      <protection/>
    </xf>
    <xf numFmtId="0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10" xfId="0" applyFont="1" applyFill="1" applyBorder="1" applyAlignment="1" applyProtection="1">
      <alignment vertical="center"/>
      <protection/>
    </xf>
    <xf numFmtId="4" fontId="7" fillId="26" borderId="10" xfId="0" applyNumberFormat="1" applyFont="1" applyFill="1" applyBorder="1" applyAlignment="1" applyProtection="1">
      <alignment horizontal="center" vertical="center"/>
      <protection locked="0"/>
    </xf>
    <xf numFmtId="4" fontId="7" fillId="26" borderId="10" xfId="0" applyNumberFormat="1" applyFont="1" applyFill="1" applyBorder="1" applyAlignment="1">
      <alignment horizontal="center" vertical="center" wrapText="1"/>
    </xf>
    <xf numFmtId="0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26" borderId="10" xfId="0" applyNumberFormat="1" applyFont="1" applyFill="1" applyBorder="1" applyAlignment="1">
      <alignment horizontal="center" vertical="center" wrapText="1"/>
    </xf>
    <xf numFmtId="4" fontId="7" fillId="26" borderId="10" xfId="0" applyNumberFormat="1" applyFont="1" applyFill="1" applyBorder="1" applyAlignment="1" applyProtection="1">
      <alignment horizontal="center" vertical="center" wrapText="1"/>
      <protection/>
    </xf>
    <xf numFmtId="4" fontId="3" fillId="26" borderId="10" xfId="0" applyNumberFormat="1" applyFont="1" applyFill="1" applyBorder="1" applyAlignment="1" applyProtection="1">
      <alignment horizontal="center" vertical="center" wrapText="1"/>
      <protection/>
    </xf>
    <xf numFmtId="2" fontId="7" fillId="26" borderId="10" xfId="0" applyNumberFormat="1" applyFont="1" applyFill="1" applyBorder="1" applyAlignment="1">
      <alignment horizontal="center" vertical="center" wrapText="1"/>
    </xf>
    <xf numFmtId="2" fontId="7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 applyProtection="1">
      <alignment horizontal="left" vertical="center" wrapText="1"/>
      <protection/>
    </xf>
    <xf numFmtId="0" fontId="3" fillId="26" borderId="10" xfId="0" applyFont="1" applyFill="1" applyBorder="1" applyAlignment="1" applyProtection="1">
      <alignment vertical="center" wrapText="1"/>
      <protection/>
    </xf>
    <xf numFmtId="0" fontId="29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 applyProtection="1">
      <alignment vertical="center" wrapText="1"/>
      <protection/>
    </xf>
    <xf numFmtId="4" fontId="12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24" borderId="10" xfId="0" applyNumberFormat="1" applyFont="1" applyFill="1" applyBorder="1" applyAlignment="1" applyProtection="1">
      <alignment horizontal="center" vertical="center" wrapText="1"/>
      <protection/>
    </xf>
    <xf numFmtId="2" fontId="1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/>
    </xf>
    <xf numFmtId="0" fontId="12" fillId="24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10" fillId="26" borderId="10" xfId="0" applyFont="1" applyFill="1" applyBorder="1" applyAlignment="1" applyProtection="1">
      <alignment horizontal="left" vertical="center" wrapText="1"/>
      <protection/>
    </xf>
    <xf numFmtId="2" fontId="3" fillId="26" borderId="10" xfId="0" applyNumberFormat="1" applyFont="1" applyFill="1" applyBorder="1" applyAlignment="1">
      <alignment horizontal="center" vertical="center"/>
    </xf>
    <xf numFmtId="2" fontId="3" fillId="26" borderId="10" xfId="0" applyNumberFormat="1" applyFont="1" applyFill="1" applyBorder="1" applyAlignment="1">
      <alignment horizontal="center" vertical="center" wrapText="1"/>
    </xf>
    <xf numFmtId="180" fontId="3" fillId="26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 applyProtection="1">
      <alignment horizontal="left" vertical="center" wrapText="1"/>
      <protection/>
    </xf>
    <xf numFmtId="0" fontId="3" fillId="22" borderId="10" xfId="0" applyFont="1" applyFill="1" applyBorder="1" applyAlignment="1" applyProtection="1">
      <alignment vertical="center"/>
      <protection/>
    </xf>
    <xf numFmtId="181" fontId="7" fillId="22" borderId="10" xfId="0" applyNumberFormat="1" applyFont="1" applyFill="1" applyBorder="1" applyAlignment="1" applyProtection="1">
      <alignment horizontal="center" vertical="center"/>
      <protection/>
    </xf>
    <xf numFmtId="180" fontId="7" fillId="22" borderId="10" xfId="0" applyNumberFormat="1" applyFont="1" applyFill="1" applyBorder="1" applyAlignment="1">
      <alignment horizontal="center" vertical="center" wrapText="1"/>
    </xf>
    <xf numFmtId="2" fontId="1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2" borderId="10" xfId="0" applyFont="1" applyFill="1" applyBorder="1" applyAlignment="1" applyProtection="1">
      <alignment vertical="center" wrapText="1"/>
      <protection/>
    </xf>
    <xf numFmtId="4" fontId="7" fillId="22" borderId="10" xfId="0" applyNumberFormat="1" applyFont="1" applyFill="1" applyBorder="1" applyAlignment="1" applyProtection="1">
      <alignment horizontal="center" vertical="center" wrapText="1"/>
      <protection/>
    </xf>
    <xf numFmtId="2" fontId="14" fillId="22" borderId="10" xfId="0" applyNumberFormat="1" applyFont="1" applyFill="1" applyBorder="1" applyAlignment="1">
      <alignment horizontal="center" vertical="center"/>
    </xf>
    <xf numFmtId="0" fontId="6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22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7" fillId="4" borderId="10" xfId="0" applyNumberFormat="1" applyFont="1" applyFill="1" applyBorder="1" applyAlignment="1" applyProtection="1">
      <alignment horizontal="center" vertical="center" wrapText="1"/>
      <protection/>
    </xf>
    <xf numFmtId="4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0" xfId="53" applyNumberFormat="1" applyFont="1" applyFill="1" applyBorder="1" applyAlignment="1" applyProtection="1">
      <alignment horizontal="center" vertical="center" wrapText="1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4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10" xfId="53" applyNumberFormat="1" applyFont="1" applyFill="1" applyBorder="1" applyAlignment="1" applyProtection="1">
      <alignment horizontal="center" vertical="center" wrapText="1"/>
      <protection locked="0"/>
    </xf>
    <xf numFmtId="4" fontId="3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0" xfId="54" applyNumberFormat="1" applyFont="1" applyFill="1" applyBorder="1" applyAlignment="1" applyProtection="1">
      <alignment horizontal="center" vertical="center" wrapText="1"/>
      <protection locked="0"/>
    </xf>
    <xf numFmtId="2" fontId="11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11" xfId="0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24" borderId="10" xfId="0" applyNumberFormat="1" applyFont="1" applyFill="1" applyBorder="1" applyAlignment="1" applyProtection="1">
      <alignment horizontal="center" vertical="center" wrapText="1"/>
      <protection/>
    </xf>
    <xf numFmtId="2" fontId="7" fillId="4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 vertical="center" wrapText="1"/>
      <protection/>
    </xf>
    <xf numFmtId="181" fontId="10" fillId="27" borderId="10" xfId="0" applyNumberFormat="1" applyFont="1" applyFill="1" applyBorder="1" applyAlignment="1" applyProtection="1">
      <alignment horizontal="center" vertical="center"/>
      <protection/>
    </xf>
    <xf numFmtId="2" fontId="4" fillId="24" borderId="10" xfId="0" applyNumberFormat="1" applyFont="1" applyFill="1" applyBorder="1" applyAlignment="1" applyProtection="1">
      <alignment vertical="center"/>
      <protection locked="0"/>
    </xf>
    <xf numFmtId="2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left" vertical="center" wrapText="1"/>
      <protection locked="0"/>
    </xf>
    <xf numFmtId="181" fontId="3" fillId="27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7" fillId="24" borderId="10" xfId="0" applyFont="1" applyFill="1" applyBorder="1" applyAlignment="1">
      <alignment horizontal="left" vertical="center" wrapText="1"/>
    </xf>
    <xf numFmtId="181" fontId="7" fillId="27" borderId="10" xfId="0" applyNumberFormat="1" applyFont="1" applyFill="1" applyBorder="1" applyAlignment="1" applyProtection="1">
      <alignment horizontal="center" vertical="center"/>
      <protection/>
    </xf>
    <xf numFmtId="181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0" xfId="0" applyNumberFormat="1" applyFont="1" applyBorder="1" applyAlignment="1" applyProtection="1">
      <alignment horizontal="center" vertical="center" wrapText="1"/>
      <protection locked="0"/>
    </xf>
    <xf numFmtId="180" fontId="7" fillId="0" borderId="10" xfId="0" applyNumberFormat="1" applyFont="1" applyBorder="1" applyAlignment="1" applyProtection="1">
      <alignment horizontal="center" vertical="center" wrapText="1"/>
      <protection locked="0"/>
    </xf>
    <xf numFmtId="4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182" fontId="3" fillId="0" borderId="10" xfId="0" applyNumberFormat="1" applyFont="1" applyBorder="1" applyAlignment="1" applyProtection="1">
      <alignment horizontal="center" vertical="center" wrapText="1"/>
      <protection locked="0"/>
    </xf>
    <xf numFmtId="180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80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180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181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26" borderId="10" xfId="0" applyNumberFormat="1" applyFont="1" applyFill="1" applyBorder="1" applyAlignment="1" applyProtection="1">
      <alignment horizontal="center" vertical="center" wrapText="1"/>
      <protection hidden="1"/>
    </xf>
    <xf numFmtId="181" fontId="3" fillId="24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1" fontId="7" fillId="26" borderId="10" xfId="0" applyNumberFormat="1" applyFont="1" applyFill="1" applyBorder="1" applyAlignment="1" applyProtection="1">
      <alignment horizontal="center" vertical="center"/>
      <protection locked="0"/>
    </xf>
    <xf numFmtId="181" fontId="7" fillId="26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181" fontId="7" fillId="22" borderId="10" xfId="0" applyNumberFormat="1" applyFont="1" applyFill="1" applyBorder="1" applyAlignment="1" applyProtection="1">
      <alignment horizontal="center" vertical="center" wrapText="1"/>
      <protection locked="0"/>
    </xf>
    <xf numFmtId="18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10" xfId="0" applyNumberFormat="1" applyFont="1" applyFill="1" applyBorder="1" applyAlignment="1" applyProtection="1">
      <alignment horizontal="center" vertical="center"/>
      <protection locked="0"/>
    </xf>
    <xf numFmtId="4" fontId="7" fillId="22" borderId="10" xfId="0" applyNumberFormat="1" applyFont="1" applyFill="1" applyBorder="1" applyAlignment="1" applyProtection="1">
      <alignment horizontal="center" vertical="center" wrapText="1"/>
      <protection hidden="1"/>
    </xf>
    <xf numFmtId="4" fontId="3" fillId="22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" fontId="25" fillId="24" borderId="10" xfId="0" applyNumberFormat="1" applyFont="1" applyFill="1" applyBorder="1" applyAlignment="1" applyProtection="1">
      <alignment horizontal="center" vertical="center"/>
      <protection/>
    </xf>
    <xf numFmtId="1" fontId="25" fillId="24" borderId="10" xfId="0" applyNumberFormat="1" applyFont="1" applyFill="1" applyBorder="1" applyAlignment="1" applyProtection="1">
      <alignment horizontal="center" vertical="center" wrapText="1"/>
      <protection/>
    </xf>
    <xf numFmtId="1" fontId="25" fillId="4" borderId="10" xfId="0" applyNumberFormat="1" applyFont="1" applyFill="1" applyBorder="1" applyAlignment="1" applyProtection="1">
      <alignment horizontal="center" vertical="center" wrapText="1"/>
      <protection/>
    </xf>
    <xf numFmtId="2" fontId="3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/>
      <protection/>
    </xf>
    <xf numFmtId="1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/>
      <protection/>
    </xf>
    <xf numFmtId="2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181" fontId="3" fillId="22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Border="1" applyAlignment="1" applyProtection="1">
      <alignment horizontal="center" vertical="center" wrapText="1"/>
      <protection/>
    </xf>
    <xf numFmtId="180" fontId="7" fillId="0" borderId="10" xfId="0" applyNumberFormat="1" applyFont="1" applyBorder="1" applyAlignment="1" applyProtection="1">
      <alignment horizontal="center" vertical="center" wrapText="1"/>
      <protection/>
    </xf>
    <xf numFmtId="181" fontId="7" fillId="0" borderId="10" xfId="0" applyNumberFormat="1" applyFont="1" applyBorder="1" applyAlignment="1" applyProtection="1">
      <alignment horizontal="center" vertical="center" wrapText="1"/>
      <protection/>
    </xf>
    <xf numFmtId="0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Alignment="1" applyProtection="1">
      <alignment horizontal="center" vertical="center"/>
      <protection/>
    </xf>
    <xf numFmtId="0" fontId="51" fillId="24" borderId="10" xfId="0" applyNumberFormat="1" applyFont="1" applyFill="1" applyBorder="1" applyAlignment="1" applyProtection="1">
      <alignment horizontal="center" vertical="center" wrapText="1"/>
      <protection locked="0"/>
    </xf>
    <xf numFmtId="180" fontId="7" fillId="26" borderId="10" xfId="0" applyNumberFormat="1" applyFont="1" applyFill="1" applyBorder="1" applyAlignment="1" applyProtection="1">
      <alignment horizontal="center" vertical="center" wrapText="1"/>
      <protection/>
    </xf>
    <xf numFmtId="180" fontId="3" fillId="4" borderId="10" xfId="0" applyNumberFormat="1" applyFont="1" applyFill="1" applyBorder="1" applyAlignment="1" applyProtection="1">
      <alignment horizontal="center" vertical="center" wrapText="1"/>
      <protection/>
    </xf>
    <xf numFmtId="180" fontId="7" fillId="4" borderId="10" xfId="0" applyNumberFormat="1" applyFont="1" applyFill="1" applyBorder="1" applyAlignment="1" applyProtection="1">
      <alignment horizontal="center" vertical="center" wrapText="1"/>
      <protection/>
    </xf>
    <xf numFmtId="180" fontId="7" fillId="4" borderId="10" xfId="53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7" fillId="24" borderId="11" xfId="0" applyFont="1" applyFill="1" applyBorder="1" applyAlignment="1">
      <alignment horizontal="left" vertical="center" wrapText="1"/>
    </xf>
    <xf numFmtId="0" fontId="7" fillId="24" borderId="17" xfId="0" applyFont="1" applyFill="1" applyBorder="1" applyAlignment="1">
      <alignment horizontal="left" vertical="center" wrapText="1"/>
    </xf>
    <xf numFmtId="0" fontId="7" fillId="24" borderId="18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0" fontId="7" fillId="24" borderId="19" xfId="0" applyFont="1" applyFill="1" applyBorder="1" applyAlignment="1" applyProtection="1">
      <alignment horizontal="center" vertical="center" wrapText="1"/>
      <protection/>
    </xf>
    <xf numFmtId="0" fontId="7" fillId="24" borderId="2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vertical="center"/>
      <protection/>
    </xf>
    <xf numFmtId="0" fontId="7" fillId="24" borderId="17" xfId="0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horizontal="right" wrapText="1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29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7" fillId="25" borderId="10" xfId="0" applyNumberFormat="1" applyFont="1" applyFill="1" applyBorder="1" applyAlignment="1" applyProtection="1">
      <alignment horizontal="center" vertical="center"/>
      <protection locked="0"/>
    </xf>
    <xf numFmtId="2" fontId="7" fillId="4" borderId="10" xfId="0" applyNumberFormat="1" applyFont="1" applyFill="1" applyBorder="1" applyAlignment="1" applyProtection="1">
      <alignment horizontal="center" vertical="center"/>
      <protection locked="0"/>
    </xf>
    <xf numFmtId="2" fontId="3" fillId="25" borderId="10" xfId="0" applyNumberFormat="1" applyFont="1" applyFill="1" applyBorder="1" applyAlignment="1" applyProtection="1">
      <alignment horizontal="center" vertical="center"/>
      <protection/>
    </xf>
    <xf numFmtId="2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81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2" fontId="7" fillId="25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8" xfId="0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/>
    </xf>
    <xf numFmtId="2" fontId="7" fillId="0" borderId="18" xfId="0" applyNumberFormat="1" applyFont="1" applyFill="1" applyBorder="1" applyAlignment="1" applyProtection="1">
      <alignment horizontal="center" vertical="center"/>
      <protection/>
    </xf>
    <xf numFmtId="181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Alignment="1" applyProtection="1">
      <alignment horizontal="left" vertical="center"/>
      <protection locked="0"/>
    </xf>
    <xf numFmtId="0" fontId="19" fillId="24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54" applyFont="1" applyFill="1" applyBorder="1" applyAlignment="1" applyProtection="1">
      <alignment horizontal="left" wrapText="1"/>
      <protection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11" xfId="0" applyNumberFormat="1" applyFont="1" applyFill="1" applyBorder="1" applyAlignment="1" applyProtection="1">
      <alignment horizontal="center" vertical="center" wrapText="1"/>
      <protection/>
    </xf>
    <xf numFmtId="2" fontId="7" fillId="4" borderId="17" xfId="0" applyNumberFormat="1" applyFont="1" applyFill="1" applyBorder="1" applyAlignment="1" applyProtection="1">
      <alignment horizontal="center" vertical="center" wrapText="1"/>
      <protection/>
    </xf>
    <xf numFmtId="2" fontId="7" fillId="4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17" xfId="0" applyNumberFormat="1" applyFont="1" applyFill="1" applyBorder="1" applyAlignment="1" applyProtection="1">
      <alignment horizontal="center" vertical="center" wrapText="1"/>
      <protection/>
    </xf>
    <xf numFmtId="2" fontId="3" fillId="0" borderId="18" xfId="0" applyNumberFormat="1" applyFont="1" applyFill="1" applyBorder="1" applyAlignment="1" applyProtection="1">
      <alignment horizontal="center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3"/>
  <sheetViews>
    <sheetView tabSelected="1" zoomScalePageLayoutView="0" workbookViewId="0" topLeftCell="A6">
      <selection activeCell="L144" sqref="L144"/>
    </sheetView>
  </sheetViews>
  <sheetFormatPr defaultColWidth="9.140625" defaultRowHeight="12.75"/>
  <cols>
    <col min="1" max="1" width="3.7109375" style="0" customWidth="1"/>
    <col min="2" max="2" width="21.7109375" style="130" customWidth="1"/>
    <col min="3" max="3" width="8.140625" style="149" customWidth="1"/>
    <col min="4" max="4" width="8.421875" style="130" customWidth="1"/>
    <col min="5" max="5" width="9.00390625" style="131" customWidth="1"/>
    <col min="6" max="6" width="8.57421875" style="131" customWidth="1"/>
    <col min="7" max="7" width="9.00390625" style="131" customWidth="1"/>
    <col min="8" max="8" width="8.7109375" style="131" customWidth="1"/>
    <col min="9" max="9" width="8.57421875" style="131" customWidth="1"/>
    <col min="10" max="10" width="7.7109375" style="131" customWidth="1"/>
    <col min="11" max="11" width="7.28125" style="131" customWidth="1"/>
    <col min="12" max="12" width="8.00390625" style="131" customWidth="1"/>
    <col min="13" max="13" width="7.57421875" style="130" customWidth="1"/>
    <col min="14" max="14" width="8.140625" style="130" customWidth="1"/>
    <col min="15" max="15" width="6.00390625" style="130" customWidth="1"/>
    <col min="16" max="16" width="7.8515625" style="0" hidden="1" customWidth="1"/>
    <col min="17" max="17" width="8.7109375" style="0" hidden="1" customWidth="1"/>
    <col min="18" max="18" width="8.28125" style="0" hidden="1" customWidth="1"/>
    <col min="19" max="19" width="8.7109375" style="106" hidden="1" customWidth="1"/>
    <col min="20" max="20" width="9.28125" style="0" hidden="1" customWidth="1"/>
    <col min="21" max="21" width="7.57421875" style="0" hidden="1" customWidth="1"/>
    <col min="22" max="22" width="7.00390625" style="0" hidden="1" customWidth="1"/>
    <col min="23" max="23" width="10.7109375" style="130" customWidth="1"/>
    <col min="24" max="24" width="9.8515625" style="54" customWidth="1"/>
    <col min="26" max="26" width="11.421875" style="0" customWidth="1"/>
  </cols>
  <sheetData>
    <row r="1" spans="1:23" ht="10.5" customHeight="1">
      <c r="A1" s="382" t="s">
        <v>215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</row>
    <row r="2" spans="1:23" ht="24.7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</row>
    <row r="3" spans="1:23" ht="17.25" customHeight="1">
      <c r="A3" s="383" t="s">
        <v>0</v>
      </c>
      <c r="B3" s="383"/>
      <c r="C3" s="383"/>
      <c r="D3" s="383"/>
      <c r="E3" s="384" t="s">
        <v>1</v>
      </c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</row>
    <row r="4" spans="1:23" ht="17.25" customHeight="1">
      <c r="A4" s="385" t="s">
        <v>2</v>
      </c>
      <c r="B4" s="385" t="s">
        <v>3</v>
      </c>
      <c r="C4" s="386" t="s">
        <v>4</v>
      </c>
      <c r="D4" s="385" t="s">
        <v>185</v>
      </c>
      <c r="E4" s="385"/>
      <c r="F4" s="387" t="s">
        <v>187</v>
      </c>
      <c r="G4" s="387"/>
      <c r="H4" s="387"/>
      <c r="I4" s="387"/>
      <c r="J4" s="387" t="s">
        <v>184</v>
      </c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8" t="s">
        <v>5</v>
      </c>
    </row>
    <row r="5" spans="1:23" ht="26.25" customHeight="1">
      <c r="A5" s="385"/>
      <c r="B5" s="385"/>
      <c r="C5" s="386"/>
      <c r="D5" s="385" t="s">
        <v>186</v>
      </c>
      <c r="E5" s="387" t="s">
        <v>171</v>
      </c>
      <c r="F5" s="387" t="s">
        <v>195</v>
      </c>
      <c r="G5" s="385" t="s">
        <v>189</v>
      </c>
      <c r="H5" s="387" t="s">
        <v>196</v>
      </c>
      <c r="I5" s="387" t="s">
        <v>188</v>
      </c>
      <c r="J5" s="387" t="s">
        <v>6</v>
      </c>
      <c r="K5" s="387"/>
      <c r="L5" s="387" t="s">
        <v>10</v>
      </c>
      <c r="M5" s="387"/>
      <c r="N5" s="387" t="s">
        <v>11</v>
      </c>
      <c r="O5" s="385" t="s">
        <v>12</v>
      </c>
      <c r="P5" s="387" t="s">
        <v>7</v>
      </c>
      <c r="Q5" s="387"/>
      <c r="R5" s="387"/>
      <c r="S5" s="387"/>
      <c r="T5" s="387"/>
      <c r="U5" s="387"/>
      <c r="V5" s="387"/>
      <c r="W5" s="388"/>
    </row>
    <row r="6" spans="1:23" ht="39" customHeight="1">
      <c r="A6" s="385"/>
      <c r="B6" s="385"/>
      <c r="C6" s="386"/>
      <c r="D6" s="385"/>
      <c r="E6" s="387"/>
      <c r="F6" s="387"/>
      <c r="G6" s="385"/>
      <c r="H6" s="387"/>
      <c r="I6" s="387"/>
      <c r="J6" s="1" t="s">
        <v>13</v>
      </c>
      <c r="K6" s="2" t="s">
        <v>9</v>
      </c>
      <c r="L6" s="1" t="s">
        <v>13</v>
      </c>
      <c r="M6" s="2" t="s">
        <v>9</v>
      </c>
      <c r="N6" s="387"/>
      <c r="O6" s="385"/>
      <c r="P6" s="1" t="s">
        <v>8</v>
      </c>
      <c r="Q6" s="2" t="s">
        <v>14</v>
      </c>
      <c r="R6" s="1" t="s">
        <v>8</v>
      </c>
      <c r="S6" s="2" t="s">
        <v>15</v>
      </c>
      <c r="T6" s="2" t="s">
        <v>14</v>
      </c>
      <c r="U6" s="1" t="s">
        <v>16</v>
      </c>
      <c r="V6" s="2" t="s">
        <v>12</v>
      </c>
      <c r="W6" s="388"/>
    </row>
    <row r="7" spans="1:24" s="163" customFormat="1" ht="11.25" customHeight="1">
      <c r="A7" s="159">
        <v>1</v>
      </c>
      <c r="B7" s="159">
        <v>2</v>
      </c>
      <c r="C7" s="159">
        <v>3</v>
      </c>
      <c r="D7" s="159">
        <v>4</v>
      </c>
      <c r="E7" s="164">
        <v>5</v>
      </c>
      <c r="F7" s="159">
        <v>6</v>
      </c>
      <c r="G7" s="159">
        <v>7</v>
      </c>
      <c r="H7" s="159">
        <v>8</v>
      </c>
      <c r="I7" s="159">
        <v>9</v>
      </c>
      <c r="J7" s="159">
        <v>10</v>
      </c>
      <c r="K7" s="159">
        <v>11</v>
      </c>
      <c r="L7" s="159">
        <v>12</v>
      </c>
      <c r="M7" s="165">
        <v>13</v>
      </c>
      <c r="N7" s="159">
        <v>14</v>
      </c>
      <c r="O7" s="159">
        <v>15</v>
      </c>
      <c r="P7" s="159">
        <v>16</v>
      </c>
      <c r="Q7" s="159">
        <v>17</v>
      </c>
      <c r="R7" s="159">
        <v>18</v>
      </c>
      <c r="S7" s="159">
        <v>19</v>
      </c>
      <c r="T7" s="159">
        <v>20</v>
      </c>
      <c r="U7" s="159">
        <v>21</v>
      </c>
      <c r="V7" s="159">
        <v>22</v>
      </c>
      <c r="W7" s="159">
        <v>16</v>
      </c>
      <c r="X7" s="162"/>
    </row>
    <row r="8" spans="1:26" ht="16.5" customHeight="1">
      <c r="A8" s="59">
        <v>1</v>
      </c>
      <c r="B8" s="60" t="s">
        <v>17</v>
      </c>
      <c r="C8" s="176" t="s">
        <v>18</v>
      </c>
      <c r="D8" s="232">
        <f>D9+D10+D11+D12+D13+D14+D15+D16</f>
        <v>16000</v>
      </c>
      <c r="E8" s="232">
        <f aca="true" t="shared" si="0" ref="E8:L8">E9+E10+E11+E12+E13+E14+E15+E16</f>
        <v>0</v>
      </c>
      <c r="F8" s="232">
        <f t="shared" si="0"/>
        <v>16000</v>
      </c>
      <c r="G8" s="232">
        <f t="shared" si="0"/>
        <v>0</v>
      </c>
      <c r="H8" s="232">
        <f t="shared" si="0"/>
        <v>16000</v>
      </c>
      <c r="I8" s="232">
        <f t="shared" si="0"/>
        <v>0</v>
      </c>
      <c r="J8" s="232">
        <f t="shared" si="0"/>
        <v>13600</v>
      </c>
      <c r="K8" s="232">
        <f>J8/(H8+1E-133)*100-100</f>
        <v>-15</v>
      </c>
      <c r="L8" s="232">
        <f t="shared" si="0"/>
        <v>13600</v>
      </c>
      <c r="M8" s="232">
        <f aca="true" t="shared" si="1" ref="M8:M39">L8/(H8+1E-106)*100-100</f>
        <v>-15</v>
      </c>
      <c r="N8" s="232">
        <f aca="true" t="shared" si="2" ref="N8:N17">L8-J8</f>
        <v>0</v>
      </c>
      <c r="O8" s="232"/>
      <c r="P8" s="5">
        <f>P9+P10+P11+P12+P13+P14+P15+P16</f>
        <v>16000</v>
      </c>
      <c r="Q8" s="7">
        <f aca="true" t="shared" si="3" ref="Q8:Q23">P8/(F8+1E-106)*100-100</f>
        <v>0</v>
      </c>
      <c r="R8" s="5">
        <f>R9+R10+R11+R12+R13+R14+R15+R16</f>
        <v>16000</v>
      </c>
      <c r="S8" s="8">
        <f>R8/(P8+1E-106)*100-100</f>
        <v>0</v>
      </c>
      <c r="T8" s="8">
        <f aca="true" t="shared" si="4" ref="T8:T23">R8/(F8+1E-106)*100-100</f>
        <v>0</v>
      </c>
      <c r="U8" s="9">
        <f aca="true" t="shared" si="5" ref="U8:U23">R8-J8</f>
        <v>2400</v>
      </c>
      <c r="V8" s="8"/>
      <c r="W8" s="394" t="s">
        <v>211</v>
      </c>
      <c r="X8" s="168"/>
      <c r="Y8" s="10"/>
      <c r="Z8" s="11"/>
    </row>
    <row r="9" spans="1:26" ht="16.5" customHeight="1">
      <c r="A9" s="12"/>
      <c r="B9" s="13" t="s">
        <v>19</v>
      </c>
      <c r="C9" s="44" t="s">
        <v>18</v>
      </c>
      <c r="D9" s="152">
        <v>16000</v>
      </c>
      <c r="E9" s="244"/>
      <c r="F9" s="152">
        <v>16000</v>
      </c>
      <c r="G9" s="233"/>
      <c r="H9" s="152">
        <v>16000</v>
      </c>
      <c r="I9" s="233"/>
      <c r="J9" s="233">
        <v>13600</v>
      </c>
      <c r="K9" s="238">
        <f aca="true" t="shared" si="6" ref="K9:K72">J9/(H9+1E-133)*100-100</f>
        <v>-15</v>
      </c>
      <c r="L9" s="234">
        <v>13600</v>
      </c>
      <c r="M9" s="238">
        <f t="shared" si="1"/>
        <v>-15</v>
      </c>
      <c r="N9" s="238">
        <f t="shared" si="2"/>
        <v>0</v>
      </c>
      <c r="O9" s="233"/>
      <c r="P9" s="15">
        <f>F9</f>
        <v>16000</v>
      </c>
      <c r="Q9" s="16">
        <f t="shared" si="3"/>
        <v>0</v>
      </c>
      <c r="R9" s="15">
        <f>P9</f>
        <v>16000</v>
      </c>
      <c r="S9" s="17">
        <f aca="true" t="shared" si="7" ref="S9:S69">R9/(P9+1E-106)*100-100</f>
        <v>0</v>
      </c>
      <c r="T9" s="17">
        <f t="shared" si="4"/>
        <v>0</v>
      </c>
      <c r="U9" s="16">
        <f t="shared" si="5"/>
        <v>2400</v>
      </c>
      <c r="V9" s="16"/>
      <c r="W9" s="394"/>
      <c r="X9" s="168"/>
      <c r="Y9" s="10"/>
      <c r="Z9" s="11"/>
    </row>
    <row r="10" spans="1:26" ht="12.75" customHeight="1" hidden="1">
      <c r="A10" s="12"/>
      <c r="B10" s="13" t="s">
        <v>20</v>
      </c>
      <c r="C10" s="44" t="s">
        <v>18</v>
      </c>
      <c r="D10" s="152"/>
      <c r="E10" s="244"/>
      <c r="F10" s="152"/>
      <c r="G10" s="233"/>
      <c r="H10" s="152"/>
      <c r="I10" s="233"/>
      <c r="J10" s="233"/>
      <c r="K10" s="238">
        <f t="shared" si="6"/>
        <v>-100</v>
      </c>
      <c r="L10" s="152"/>
      <c r="M10" s="238">
        <f t="shared" si="1"/>
        <v>-100</v>
      </c>
      <c r="N10" s="238">
        <f t="shared" si="2"/>
        <v>0</v>
      </c>
      <c r="O10" s="233"/>
      <c r="P10" s="18"/>
      <c r="Q10" s="16">
        <f t="shared" si="3"/>
        <v>-100</v>
      </c>
      <c r="R10" s="18"/>
      <c r="S10" s="17">
        <f t="shared" si="7"/>
        <v>-100</v>
      </c>
      <c r="T10" s="17">
        <f t="shared" si="4"/>
        <v>-100</v>
      </c>
      <c r="U10" s="16">
        <f t="shared" si="5"/>
        <v>0</v>
      </c>
      <c r="V10" s="16"/>
      <c r="W10" s="394"/>
      <c r="X10" s="168"/>
      <c r="Y10" s="10"/>
      <c r="Z10" s="11"/>
    </row>
    <row r="11" spans="1:26" ht="12.75" customHeight="1" hidden="1">
      <c r="A11" s="12"/>
      <c r="B11" s="13" t="s">
        <v>21</v>
      </c>
      <c r="C11" s="44" t="s">
        <v>18</v>
      </c>
      <c r="D11" s="152"/>
      <c r="E11" s="244"/>
      <c r="F11" s="152"/>
      <c r="G11" s="233"/>
      <c r="H11" s="152"/>
      <c r="I11" s="233"/>
      <c r="J11" s="233"/>
      <c r="K11" s="238">
        <f t="shared" si="6"/>
        <v>-100</v>
      </c>
      <c r="L11" s="152"/>
      <c r="M11" s="238">
        <f t="shared" si="1"/>
        <v>-100</v>
      </c>
      <c r="N11" s="238">
        <f t="shared" si="2"/>
        <v>0</v>
      </c>
      <c r="O11" s="233"/>
      <c r="P11" s="18"/>
      <c r="Q11" s="16">
        <f t="shared" si="3"/>
        <v>-100</v>
      </c>
      <c r="R11" s="18"/>
      <c r="S11" s="17">
        <f t="shared" si="7"/>
        <v>-100</v>
      </c>
      <c r="T11" s="17">
        <f t="shared" si="4"/>
        <v>-100</v>
      </c>
      <c r="U11" s="16">
        <f t="shared" si="5"/>
        <v>0</v>
      </c>
      <c r="V11" s="16"/>
      <c r="W11" s="19"/>
      <c r="X11" s="168"/>
      <c r="Y11" s="10"/>
      <c r="Z11" s="11"/>
    </row>
    <row r="12" spans="1:26" ht="12.75" customHeight="1" hidden="1">
      <c r="A12" s="12"/>
      <c r="B12" s="13" t="s">
        <v>22</v>
      </c>
      <c r="C12" s="44" t="s">
        <v>18</v>
      </c>
      <c r="D12" s="152"/>
      <c r="E12" s="244"/>
      <c r="F12" s="152"/>
      <c r="G12" s="233"/>
      <c r="H12" s="152"/>
      <c r="I12" s="233"/>
      <c r="J12" s="233"/>
      <c r="K12" s="238">
        <f t="shared" si="6"/>
        <v>-100</v>
      </c>
      <c r="L12" s="152"/>
      <c r="M12" s="238">
        <f t="shared" si="1"/>
        <v>-100</v>
      </c>
      <c r="N12" s="238">
        <f t="shared" si="2"/>
        <v>0</v>
      </c>
      <c r="O12" s="233"/>
      <c r="P12" s="18"/>
      <c r="Q12" s="16">
        <f t="shared" si="3"/>
        <v>-100</v>
      </c>
      <c r="R12" s="18"/>
      <c r="S12" s="17">
        <f t="shared" si="7"/>
        <v>-100</v>
      </c>
      <c r="T12" s="17">
        <f t="shared" si="4"/>
        <v>-100</v>
      </c>
      <c r="U12" s="16">
        <f t="shared" si="5"/>
        <v>0</v>
      </c>
      <c r="V12" s="16"/>
      <c r="W12" s="19"/>
      <c r="X12" s="168"/>
      <c r="Y12" s="10"/>
      <c r="Z12" s="11"/>
    </row>
    <row r="13" spans="1:26" ht="12.75" customHeight="1" hidden="1">
      <c r="A13" s="12"/>
      <c r="B13" s="13" t="s">
        <v>23</v>
      </c>
      <c r="C13" s="44" t="s">
        <v>18</v>
      </c>
      <c r="D13" s="152"/>
      <c r="E13" s="244"/>
      <c r="F13" s="152"/>
      <c r="G13" s="233"/>
      <c r="H13" s="152"/>
      <c r="I13" s="233"/>
      <c r="J13" s="233"/>
      <c r="K13" s="238">
        <f t="shared" si="6"/>
        <v>-100</v>
      </c>
      <c r="L13" s="152"/>
      <c r="M13" s="238">
        <f t="shared" si="1"/>
        <v>-100</v>
      </c>
      <c r="N13" s="238">
        <f t="shared" si="2"/>
        <v>0</v>
      </c>
      <c r="O13" s="233"/>
      <c r="P13" s="18"/>
      <c r="Q13" s="16">
        <f t="shared" si="3"/>
        <v>-100</v>
      </c>
      <c r="R13" s="18"/>
      <c r="S13" s="17">
        <f t="shared" si="7"/>
        <v>-100</v>
      </c>
      <c r="T13" s="17">
        <f t="shared" si="4"/>
        <v>-100</v>
      </c>
      <c r="U13" s="16">
        <f t="shared" si="5"/>
        <v>0</v>
      </c>
      <c r="V13" s="16"/>
      <c r="W13" s="19"/>
      <c r="X13" s="168"/>
      <c r="Y13" s="10"/>
      <c r="Z13" s="11"/>
    </row>
    <row r="14" spans="1:26" ht="12.75" customHeight="1" hidden="1">
      <c r="A14" s="12"/>
      <c r="B14" s="13" t="s">
        <v>24</v>
      </c>
      <c r="C14" s="44" t="s">
        <v>18</v>
      </c>
      <c r="D14" s="152"/>
      <c r="E14" s="244"/>
      <c r="F14" s="152"/>
      <c r="G14" s="233"/>
      <c r="H14" s="152"/>
      <c r="I14" s="233"/>
      <c r="J14" s="233"/>
      <c r="K14" s="238">
        <f t="shared" si="6"/>
        <v>-100</v>
      </c>
      <c r="L14" s="152"/>
      <c r="M14" s="238">
        <f t="shared" si="1"/>
        <v>-100</v>
      </c>
      <c r="N14" s="238">
        <f t="shared" si="2"/>
        <v>0</v>
      </c>
      <c r="O14" s="233"/>
      <c r="P14" s="18"/>
      <c r="Q14" s="16">
        <f t="shared" si="3"/>
        <v>-100</v>
      </c>
      <c r="R14" s="18"/>
      <c r="S14" s="17">
        <f t="shared" si="7"/>
        <v>-100</v>
      </c>
      <c r="T14" s="17">
        <f t="shared" si="4"/>
        <v>-100</v>
      </c>
      <c r="U14" s="16">
        <f t="shared" si="5"/>
        <v>0</v>
      </c>
      <c r="V14" s="16"/>
      <c r="W14" s="19"/>
      <c r="X14" s="168"/>
      <c r="Y14" s="10"/>
      <c r="Z14" s="11"/>
    </row>
    <row r="15" spans="1:26" ht="12.75" customHeight="1" hidden="1">
      <c r="A15" s="12"/>
      <c r="B15" s="13" t="s">
        <v>25</v>
      </c>
      <c r="C15" s="44" t="s">
        <v>18</v>
      </c>
      <c r="D15" s="152"/>
      <c r="E15" s="244"/>
      <c r="F15" s="152"/>
      <c r="G15" s="233"/>
      <c r="H15" s="152"/>
      <c r="I15" s="233"/>
      <c r="J15" s="233"/>
      <c r="K15" s="238">
        <f t="shared" si="6"/>
        <v>-100</v>
      </c>
      <c r="L15" s="152"/>
      <c r="M15" s="238">
        <f t="shared" si="1"/>
        <v>-100</v>
      </c>
      <c r="N15" s="238">
        <f t="shared" si="2"/>
        <v>0</v>
      </c>
      <c r="O15" s="233"/>
      <c r="P15" s="18"/>
      <c r="Q15" s="16">
        <f t="shared" si="3"/>
        <v>-100</v>
      </c>
      <c r="R15" s="18"/>
      <c r="S15" s="17">
        <f t="shared" si="7"/>
        <v>-100</v>
      </c>
      <c r="T15" s="17">
        <f t="shared" si="4"/>
        <v>-100</v>
      </c>
      <c r="U15" s="16">
        <f t="shared" si="5"/>
        <v>0</v>
      </c>
      <c r="V15" s="16"/>
      <c r="W15" s="19"/>
      <c r="X15" s="168"/>
      <c r="Y15" s="10"/>
      <c r="Z15" s="11"/>
    </row>
    <row r="16" spans="1:26" ht="12.75" customHeight="1" hidden="1">
      <c r="A16" s="12"/>
      <c r="B16" s="13" t="s">
        <v>26</v>
      </c>
      <c r="C16" s="44" t="s">
        <v>18</v>
      </c>
      <c r="D16" s="152"/>
      <c r="E16" s="244"/>
      <c r="F16" s="152"/>
      <c r="G16" s="233"/>
      <c r="H16" s="152"/>
      <c r="I16" s="233"/>
      <c r="J16" s="233"/>
      <c r="K16" s="238">
        <f t="shared" si="6"/>
        <v>-100</v>
      </c>
      <c r="L16" s="152"/>
      <c r="M16" s="238">
        <f t="shared" si="1"/>
        <v>-100</v>
      </c>
      <c r="N16" s="238">
        <f t="shared" si="2"/>
        <v>0</v>
      </c>
      <c r="O16" s="233"/>
      <c r="P16" s="18"/>
      <c r="Q16" s="16">
        <f t="shared" si="3"/>
        <v>-100</v>
      </c>
      <c r="R16" s="18"/>
      <c r="S16" s="17">
        <f t="shared" si="7"/>
        <v>-100</v>
      </c>
      <c r="T16" s="17">
        <f t="shared" si="4"/>
        <v>-100</v>
      </c>
      <c r="U16" s="16">
        <f t="shared" si="5"/>
        <v>0</v>
      </c>
      <c r="V16" s="16"/>
      <c r="W16" s="19"/>
      <c r="X16" s="168"/>
      <c r="Y16" s="10"/>
      <c r="Z16" s="11"/>
    </row>
    <row r="17" spans="1:26" ht="12.75" customHeight="1">
      <c r="A17" s="3">
        <v>2</v>
      </c>
      <c r="B17" s="13" t="s">
        <v>27</v>
      </c>
      <c r="C17" s="44" t="s">
        <v>18</v>
      </c>
      <c r="D17" s="152">
        <v>400</v>
      </c>
      <c r="E17" s="244"/>
      <c r="F17" s="152">
        <v>400</v>
      </c>
      <c r="G17" s="233"/>
      <c r="H17" s="152">
        <v>510.53</v>
      </c>
      <c r="I17" s="233"/>
      <c r="J17" s="233">
        <v>408</v>
      </c>
      <c r="K17" s="238">
        <f t="shared" si="6"/>
        <v>-20.083050947055014</v>
      </c>
      <c r="L17" s="234">
        <v>408</v>
      </c>
      <c r="M17" s="238">
        <f t="shared" si="1"/>
        <v>-20.083050947055014</v>
      </c>
      <c r="N17" s="238">
        <f t="shared" si="2"/>
        <v>0</v>
      </c>
      <c r="O17" s="233"/>
      <c r="P17" s="15">
        <f>F17</f>
        <v>400</v>
      </c>
      <c r="Q17" s="16">
        <f t="shared" si="3"/>
        <v>0</v>
      </c>
      <c r="R17" s="15">
        <f>F17</f>
        <v>400</v>
      </c>
      <c r="S17" s="17">
        <f t="shared" si="7"/>
        <v>0</v>
      </c>
      <c r="T17" s="17">
        <f t="shared" si="4"/>
        <v>0</v>
      </c>
      <c r="U17" s="16">
        <f t="shared" si="5"/>
        <v>-8</v>
      </c>
      <c r="V17" s="16"/>
      <c r="W17" s="19"/>
      <c r="X17" s="168"/>
      <c r="Y17" s="10"/>
      <c r="Z17" s="11"/>
    </row>
    <row r="18" spans="1:26" ht="12.75" customHeight="1">
      <c r="A18" s="12"/>
      <c r="B18" s="13" t="s">
        <v>27</v>
      </c>
      <c r="C18" s="44" t="s">
        <v>28</v>
      </c>
      <c r="D18" s="235">
        <f aca="true" t="shared" si="8" ref="D18:J18">D17/(D8+1E-124)*100</f>
        <v>2.5</v>
      </c>
      <c r="E18" s="229">
        <f t="shared" si="8"/>
        <v>0</v>
      </c>
      <c r="F18" s="235">
        <f>F17/(F8+1E-124)*100</f>
        <v>2.5</v>
      </c>
      <c r="G18" s="229">
        <f t="shared" si="8"/>
        <v>0</v>
      </c>
      <c r="H18" s="235">
        <f t="shared" si="8"/>
        <v>3.1908124999999994</v>
      </c>
      <c r="I18" s="229">
        <f t="shared" si="8"/>
        <v>0</v>
      </c>
      <c r="J18" s="229">
        <f t="shared" si="8"/>
        <v>3</v>
      </c>
      <c r="K18" s="238">
        <f t="shared" si="6"/>
        <v>-5.980059937711772</v>
      </c>
      <c r="L18" s="235">
        <f>L17/(L8+1E-124)*100</f>
        <v>3</v>
      </c>
      <c r="M18" s="238">
        <f t="shared" si="1"/>
        <v>-5.980059937711772</v>
      </c>
      <c r="N18" s="238"/>
      <c r="O18" s="238"/>
      <c r="P18" s="20">
        <f>P17/(P8+1E-124)*100</f>
        <v>2.5</v>
      </c>
      <c r="Q18" s="16">
        <f t="shared" si="3"/>
        <v>0</v>
      </c>
      <c r="R18" s="20">
        <f>R17/(R8+1E-124)*100</f>
        <v>2.5</v>
      </c>
      <c r="S18" s="17">
        <f t="shared" si="7"/>
        <v>0</v>
      </c>
      <c r="T18" s="17">
        <f t="shared" si="4"/>
        <v>0</v>
      </c>
      <c r="U18" s="16">
        <f t="shared" si="5"/>
        <v>-0.5</v>
      </c>
      <c r="V18" s="16"/>
      <c r="W18" s="19"/>
      <c r="Y18" s="21"/>
      <c r="Z18" s="22"/>
    </row>
    <row r="19" spans="1:26" ht="14.25" customHeight="1">
      <c r="A19" s="3">
        <v>3</v>
      </c>
      <c r="B19" s="4" t="s">
        <v>180</v>
      </c>
      <c r="C19" s="44" t="s">
        <v>18</v>
      </c>
      <c r="D19" s="236">
        <v>0</v>
      </c>
      <c r="E19" s="236"/>
      <c r="F19" s="236"/>
      <c r="G19" s="236"/>
      <c r="H19" s="236"/>
      <c r="I19" s="236"/>
      <c r="J19" s="236">
        <v>0</v>
      </c>
      <c r="K19" s="235">
        <f t="shared" si="6"/>
        <v>-100</v>
      </c>
      <c r="L19" s="237">
        <v>0</v>
      </c>
      <c r="M19" s="238">
        <f t="shared" si="1"/>
        <v>-100</v>
      </c>
      <c r="N19" s="242">
        <f>L19-J19</f>
        <v>0</v>
      </c>
      <c r="O19" s="242"/>
      <c r="P19" s="24"/>
      <c r="Q19" s="16">
        <f>P19/(F19+1E-106)*100-100</f>
        <v>-100</v>
      </c>
      <c r="R19" s="24"/>
      <c r="S19" s="8">
        <f t="shared" si="7"/>
        <v>-100</v>
      </c>
      <c r="T19" s="8">
        <f>R19/(F19+1E-106)*100-100</f>
        <v>-100</v>
      </c>
      <c r="U19" s="9">
        <f t="shared" si="5"/>
        <v>0</v>
      </c>
      <c r="V19" s="16"/>
      <c r="W19" s="394" t="s">
        <v>212</v>
      </c>
      <c r="Y19" s="21"/>
      <c r="Z19" s="22"/>
    </row>
    <row r="20" spans="1:26" ht="12.75" customHeight="1">
      <c r="A20" s="3">
        <v>4</v>
      </c>
      <c r="B20" s="4" t="s">
        <v>29</v>
      </c>
      <c r="C20" s="44" t="s">
        <v>18</v>
      </c>
      <c r="D20" s="232">
        <f>D8-D17+D19</f>
        <v>15600</v>
      </c>
      <c r="E20" s="239">
        <f aca="true" t="shared" si="9" ref="E20:J20">E8-E17+E19</f>
        <v>0</v>
      </c>
      <c r="F20" s="232">
        <f>F8-F17+F19</f>
        <v>15600</v>
      </c>
      <c r="G20" s="239">
        <f t="shared" si="9"/>
        <v>0</v>
      </c>
      <c r="H20" s="232">
        <f t="shared" si="9"/>
        <v>15489.47</v>
      </c>
      <c r="I20" s="239">
        <f t="shared" si="9"/>
        <v>0</v>
      </c>
      <c r="J20" s="239">
        <f t="shared" si="9"/>
        <v>13192</v>
      </c>
      <c r="K20" s="238">
        <f t="shared" si="6"/>
        <v>-14.83246360269267</v>
      </c>
      <c r="L20" s="232">
        <f>L8-L17+L19</f>
        <v>13192</v>
      </c>
      <c r="M20" s="238">
        <f t="shared" si="1"/>
        <v>-14.83246360269267</v>
      </c>
      <c r="N20" s="242">
        <f>L20-J20</f>
        <v>0</v>
      </c>
      <c r="O20" s="242"/>
      <c r="P20" s="5">
        <f>P8-P17+P19</f>
        <v>15600</v>
      </c>
      <c r="Q20" s="16">
        <f t="shared" si="3"/>
        <v>0</v>
      </c>
      <c r="R20" s="5">
        <f>R8-R17+R19</f>
        <v>15600</v>
      </c>
      <c r="S20" s="8">
        <f t="shared" si="7"/>
        <v>0</v>
      </c>
      <c r="T20" s="8">
        <f t="shared" si="4"/>
        <v>0</v>
      </c>
      <c r="U20" s="9">
        <f t="shared" si="5"/>
        <v>2408</v>
      </c>
      <c r="V20" s="8"/>
      <c r="W20" s="394"/>
      <c r="Y20" s="21"/>
      <c r="Z20" s="22"/>
    </row>
    <row r="21" spans="1:26" ht="12.75" customHeight="1">
      <c r="A21" s="3">
        <v>5</v>
      </c>
      <c r="B21" s="13" t="s">
        <v>30</v>
      </c>
      <c r="C21" s="44" t="s">
        <v>18</v>
      </c>
      <c r="D21" s="235">
        <f aca="true" t="shared" si="10" ref="D21:J21">D20-D23</f>
        <v>0</v>
      </c>
      <c r="E21" s="229">
        <f t="shared" si="10"/>
        <v>0</v>
      </c>
      <c r="F21" s="235">
        <f t="shared" si="10"/>
        <v>0</v>
      </c>
      <c r="G21" s="229">
        <f t="shared" si="10"/>
        <v>0</v>
      </c>
      <c r="H21" s="235">
        <f t="shared" si="10"/>
        <v>-110.53000000000065</v>
      </c>
      <c r="I21" s="229">
        <f t="shared" si="10"/>
        <v>0</v>
      </c>
      <c r="J21" s="229">
        <f t="shared" si="10"/>
        <v>1236.2199999999993</v>
      </c>
      <c r="K21" s="238">
        <f t="shared" si="6"/>
        <v>-1218.4474803220774</v>
      </c>
      <c r="L21" s="229">
        <f>L20-L23</f>
        <v>1236.2212000000018</v>
      </c>
      <c r="M21" s="238">
        <f t="shared" si="1"/>
        <v>-1218.4485660001758</v>
      </c>
      <c r="N21" s="238">
        <f>L21-J21</f>
        <v>0.0012000000024272595</v>
      </c>
      <c r="O21" s="238"/>
      <c r="P21" s="15">
        <v>0</v>
      </c>
      <c r="Q21" s="16">
        <f t="shared" si="3"/>
        <v>-100</v>
      </c>
      <c r="R21" s="15">
        <v>0</v>
      </c>
      <c r="S21" s="17">
        <f t="shared" si="7"/>
        <v>-100</v>
      </c>
      <c r="T21" s="17">
        <f t="shared" si="4"/>
        <v>-100</v>
      </c>
      <c r="U21" s="16">
        <f t="shared" si="5"/>
        <v>-1236.2199999999993</v>
      </c>
      <c r="V21" s="16"/>
      <c r="W21" s="394"/>
      <c r="Y21" s="21"/>
      <c r="Z21" s="22"/>
    </row>
    <row r="22" spans="1:26" ht="12.75" customHeight="1">
      <c r="A22" s="12"/>
      <c r="B22" s="13" t="s">
        <v>30</v>
      </c>
      <c r="C22" s="44" t="s">
        <v>28</v>
      </c>
      <c r="D22" s="235">
        <f aca="true" t="shared" si="11" ref="D22:J22">D21/(D20+1E-144)*100</f>
        <v>0</v>
      </c>
      <c r="E22" s="229">
        <f t="shared" si="11"/>
        <v>0</v>
      </c>
      <c r="F22" s="235">
        <f t="shared" si="11"/>
        <v>0</v>
      </c>
      <c r="G22" s="229">
        <f t="shared" si="11"/>
        <v>0</v>
      </c>
      <c r="H22" s="235">
        <f t="shared" si="11"/>
        <v>-0.7135815492718645</v>
      </c>
      <c r="I22" s="229">
        <f t="shared" si="11"/>
        <v>0</v>
      </c>
      <c r="J22" s="229">
        <f t="shared" si="11"/>
        <v>9.370982413583985</v>
      </c>
      <c r="K22" s="238">
        <f t="shared" si="6"/>
        <v>-1413.2321629036085</v>
      </c>
      <c r="L22" s="229">
        <f>L21/(L20+1E-144)*100</f>
        <v>9.370991510006078</v>
      </c>
      <c r="M22" s="238">
        <f t="shared" si="1"/>
        <v>-1413.2334376593953</v>
      </c>
      <c r="N22" s="238"/>
      <c r="O22" s="238"/>
      <c r="P22" s="20">
        <f>P21/(P20+1E-144)*100</f>
        <v>0</v>
      </c>
      <c r="Q22" s="16">
        <f t="shared" si="3"/>
        <v>-100</v>
      </c>
      <c r="R22" s="20">
        <f>R21/(R20+1E-144)*100</f>
        <v>0</v>
      </c>
      <c r="S22" s="17">
        <f t="shared" si="7"/>
        <v>-100</v>
      </c>
      <c r="T22" s="17">
        <f t="shared" si="4"/>
        <v>-100</v>
      </c>
      <c r="U22" s="16">
        <f t="shared" si="5"/>
        <v>-9.370982413583985</v>
      </c>
      <c r="V22" s="16"/>
      <c r="W22" s="394"/>
      <c r="Y22" s="21"/>
      <c r="Z22" s="22"/>
    </row>
    <row r="23" spans="1:26" ht="16.5" customHeight="1">
      <c r="A23" s="59">
        <v>6</v>
      </c>
      <c r="B23" s="60" t="s">
        <v>31</v>
      </c>
      <c r="C23" s="176" t="s">
        <v>18</v>
      </c>
      <c r="D23" s="232">
        <f>C180</f>
        <v>15600</v>
      </c>
      <c r="E23" s="232">
        <f>D180</f>
        <v>0</v>
      </c>
      <c r="F23" s="232">
        <f>F180</f>
        <v>15600</v>
      </c>
      <c r="G23" s="232">
        <f>G180</f>
        <v>0</v>
      </c>
      <c r="H23" s="232">
        <f>H180</f>
        <v>15600</v>
      </c>
      <c r="I23" s="232">
        <f>I180</f>
        <v>0</v>
      </c>
      <c r="J23" s="332">
        <f>L180</f>
        <v>11955.78</v>
      </c>
      <c r="K23" s="235">
        <f t="shared" si="6"/>
        <v>-23.360384615384618</v>
      </c>
      <c r="L23" s="333">
        <f>M180</f>
        <v>11955.778799999998</v>
      </c>
      <c r="M23" s="235">
        <f t="shared" si="1"/>
        <v>-23.360392307692322</v>
      </c>
      <c r="N23" s="232">
        <f>L23-J23</f>
        <v>-0.0012000000024272595</v>
      </c>
      <c r="O23" s="232"/>
      <c r="P23" s="177">
        <f>K180</f>
        <v>824.4061096745476</v>
      </c>
      <c r="Q23" s="177">
        <f t="shared" si="3"/>
        <v>-94.71534545080418</v>
      </c>
      <c r="R23" s="177">
        <f>P23</f>
        <v>824.4061096745476</v>
      </c>
      <c r="S23" s="62">
        <f t="shared" si="7"/>
        <v>0</v>
      </c>
      <c r="T23" s="62">
        <f t="shared" si="4"/>
        <v>-94.71534545080418</v>
      </c>
      <c r="U23" s="63">
        <f t="shared" si="5"/>
        <v>-11131.373890325453</v>
      </c>
      <c r="V23" s="62"/>
      <c r="W23" s="178"/>
      <c r="Y23" s="21"/>
      <c r="Z23" s="22"/>
    </row>
    <row r="24" spans="1:26" ht="12" customHeight="1">
      <c r="A24" s="321">
        <v>7</v>
      </c>
      <c r="B24" s="4" t="s">
        <v>32</v>
      </c>
      <c r="C24" s="44"/>
      <c r="D24" s="235"/>
      <c r="E24" s="229"/>
      <c r="F24" s="235"/>
      <c r="G24" s="229"/>
      <c r="H24" s="235"/>
      <c r="I24" s="239" t="s">
        <v>67</v>
      </c>
      <c r="J24" s="229"/>
      <c r="K24" s="238"/>
      <c r="L24" s="235"/>
      <c r="M24" s="238"/>
      <c r="N24" s="238"/>
      <c r="O24" s="238"/>
      <c r="P24" s="322"/>
      <c r="Q24" s="323"/>
      <c r="R24" s="322"/>
      <c r="S24" s="324"/>
      <c r="T24" s="324"/>
      <c r="U24" s="325"/>
      <c r="V24" s="323"/>
      <c r="W24" s="326"/>
      <c r="Y24" s="21"/>
      <c r="Z24" s="22"/>
    </row>
    <row r="25" spans="1:26" ht="12" customHeight="1">
      <c r="A25" s="327" t="s">
        <v>33</v>
      </c>
      <c r="B25" s="4" t="s">
        <v>34</v>
      </c>
      <c r="C25" s="44"/>
      <c r="D25" s="235"/>
      <c r="E25" s="229"/>
      <c r="F25" s="235"/>
      <c r="G25" s="229"/>
      <c r="H25" s="235"/>
      <c r="I25" s="239" t="s">
        <v>67</v>
      </c>
      <c r="J25" s="229"/>
      <c r="K25" s="238"/>
      <c r="L25" s="235"/>
      <c r="M25" s="238"/>
      <c r="N25" s="238"/>
      <c r="O25" s="238"/>
      <c r="P25" s="322"/>
      <c r="Q25" s="323"/>
      <c r="R25" s="322"/>
      <c r="S25" s="324"/>
      <c r="T25" s="324"/>
      <c r="U25" s="325"/>
      <c r="V25" s="323"/>
      <c r="W25" s="326"/>
      <c r="Y25" s="21"/>
      <c r="Z25" s="22"/>
    </row>
    <row r="26" spans="1:26" ht="12" customHeight="1">
      <c r="A26" s="12"/>
      <c r="B26" s="28" t="s">
        <v>35</v>
      </c>
      <c r="C26" s="44" t="s">
        <v>36</v>
      </c>
      <c r="D26" s="252">
        <v>162.46</v>
      </c>
      <c r="E26" s="229" t="e">
        <f>E27*1000*#REF!/(E9+1E-94)</f>
        <v>#REF!</v>
      </c>
      <c r="F26" s="152">
        <v>160.2598</v>
      </c>
      <c r="G26" s="229">
        <f>G28*1000*G27/(G9+1E-94)</f>
        <v>0</v>
      </c>
      <c r="H26" s="152">
        <v>160.26</v>
      </c>
      <c r="I26" s="245"/>
      <c r="J26" s="244">
        <v>162.26</v>
      </c>
      <c r="K26" s="238">
        <f t="shared" si="6"/>
        <v>1.247972045426195</v>
      </c>
      <c r="L26" s="234">
        <v>162.26</v>
      </c>
      <c r="M26" s="238">
        <f t="shared" si="1"/>
        <v>1.247972045426195</v>
      </c>
      <c r="N26" s="238">
        <f>L26-J26</f>
        <v>0</v>
      </c>
      <c r="O26" s="233"/>
      <c r="P26" s="268">
        <f>F26</f>
        <v>160.2598</v>
      </c>
      <c r="Q26" s="269">
        <f>P26/(F26+1E-106)*100-100</f>
        <v>0</v>
      </c>
      <c r="R26" s="268">
        <f>P26</f>
        <v>160.2598</v>
      </c>
      <c r="S26" s="269">
        <f t="shared" si="7"/>
        <v>0</v>
      </c>
      <c r="T26" s="269">
        <f>R26/(F26+1E-106)*100-100</f>
        <v>0</v>
      </c>
      <c r="U26" s="269">
        <f>R26-J26</f>
        <v>-2.000199999999978</v>
      </c>
      <c r="V26" s="266"/>
      <c r="W26" s="31"/>
      <c r="Y26" s="21"/>
      <c r="Z26" s="22"/>
    </row>
    <row r="27" spans="1:26" ht="12" customHeight="1">
      <c r="A27" s="12"/>
      <c r="B27" s="28" t="s">
        <v>37</v>
      </c>
      <c r="C27" s="141"/>
      <c r="D27" s="152">
        <v>1.129</v>
      </c>
      <c r="E27" s="244"/>
      <c r="F27" s="152">
        <v>1.129</v>
      </c>
      <c r="G27" s="244"/>
      <c r="H27" s="152">
        <v>1.129</v>
      </c>
      <c r="I27" s="245"/>
      <c r="J27" s="244">
        <v>1.13</v>
      </c>
      <c r="K27" s="238">
        <f t="shared" si="6"/>
        <v>0.08857395925596734</v>
      </c>
      <c r="L27" s="234">
        <v>1.13</v>
      </c>
      <c r="M27" s="238">
        <f t="shared" si="1"/>
        <v>0.08857395925596734</v>
      </c>
      <c r="N27" s="238"/>
      <c r="O27" s="233"/>
      <c r="P27" s="268">
        <f>F27</f>
        <v>1.129</v>
      </c>
      <c r="Q27" s="269">
        <f>P27/(F27+1E-106)*100-100</f>
        <v>0</v>
      </c>
      <c r="R27" s="268">
        <f>P27</f>
        <v>1.129</v>
      </c>
      <c r="S27" s="269">
        <f t="shared" si="7"/>
        <v>0</v>
      </c>
      <c r="T27" s="269">
        <f>R27/(F27+1E-106)*100-100</f>
        <v>0</v>
      </c>
      <c r="U27" s="269">
        <f>R27-J27</f>
        <v>-0.0009999999999998899</v>
      </c>
      <c r="V27" s="270"/>
      <c r="W27" s="31"/>
      <c r="Y27" s="21"/>
      <c r="Z27" s="22"/>
    </row>
    <row r="28" spans="1:26" ht="12" customHeight="1">
      <c r="A28" s="12"/>
      <c r="B28" s="13" t="s">
        <v>38</v>
      </c>
      <c r="C28" s="44" t="s">
        <v>39</v>
      </c>
      <c r="D28" s="235">
        <f>D26/(D27+1E-97)*D9/1000</f>
        <v>2302.356067316209</v>
      </c>
      <c r="E28" s="111"/>
      <c r="F28" s="235">
        <f>F26/(F27+1E-97)*F9/1000</f>
        <v>2271.1751992914087</v>
      </c>
      <c r="G28" s="244"/>
      <c r="H28" s="235">
        <f>H26/(H27+1E-97)*H9/1000</f>
        <v>2271.1780336581046</v>
      </c>
      <c r="I28" s="251" t="s">
        <v>67</v>
      </c>
      <c r="J28" s="229">
        <f>J26/(J27+1E-97)*J9/1000</f>
        <v>1952.8637168141593</v>
      </c>
      <c r="K28" s="238">
        <f t="shared" si="6"/>
        <v>-14.01538374035998</v>
      </c>
      <c r="L28" s="235">
        <f>L26/(L27+1E-97)*L9/1000</f>
        <v>1952.8637168141593</v>
      </c>
      <c r="M28" s="238">
        <f t="shared" si="1"/>
        <v>-14.01538374035998</v>
      </c>
      <c r="N28" s="238">
        <f aca="true" t="shared" si="12" ref="N28:N42">L28-J28</f>
        <v>0</v>
      </c>
      <c r="O28" s="238"/>
      <c r="P28" s="33">
        <f>P26/(P27+1E-97)*P9/1000</f>
        <v>2271.1751992914087</v>
      </c>
      <c r="Q28" s="30">
        <f>P28/(F28+1E-106)*100-100</f>
        <v>0</v>
      </c>
      <c r="R28" s="33">
        <f>R26/(R27+1E-97)*R9/1000</f>
        <v>2271.1751992914087</v>
      </c>
      <c r="S28" s="30">
        <f t="shared" si="7"/>
        <v>0</v>
      </c>
      <c r="T28" s="30">
        <f>R28/(F28+1E-106)*100-100</f>
        <v>0</v>
      </c>
      <c r="U28" s="30">
        <f>R28-J28</f>
        <v>318.31148247724946</v>
      </c>
      <c r="V28" s="32"/>
      <c r="W28" s="31"/>
      <c r="Y28" s="21"/>
      <c r="Z28" s="22"/>
    </row>
    <row r="29" spans="1:26" s="35" customFormat="1" ht="12" customHeight="1">
      <c r="A29" s="3"/>
      <c r="B29" s="4" t="s">
        <v>40</v>
      </c>
      <c r="C29" s="44" t="s">
        <v>41</v>
      </c>
      <c r="D29" s="236">
        <v>3099.91</v>
      </c>
      <c r="E29" s="239">
        <f>E101/(E27+1E-103)*1000</f>
        <v>0</v>
      </c>
      <c r="F29" s="236">
        <v>3421.72</v>
      </c>
      <c r="G29" s="239">
        <f>G101/(G28+1E-103)*1000</f>
        <v>0</v>
      </c>
      <c r="H29" s="236">
        <v>3535.64</v>
      </c>
      <c r="I29" s="251" t="s">
        <v>67</v>
      </c>
      <c r="J29" s="245">
        <f>H29*1.15</f>
        <v>4065.9859999999994</v>
      </c>
      <c r="K29" s="238">
        <f t="shared" si="6"/>
        <v>14.999999999999986</v>
      </c>
      <c r="L29" s="240">
        <v>4065.99</v>
      </c>
      <c r="M29" s="238">
        <f t="shared" si="1"/>
        <v>15.000113133690078</v>
      </c>
      <c r="N29" s="242">
        <f t="shared" si="12"/>
        <v>0.00400000000036016</v>
      </c>
      <c r="O29" s="242"/>
      <c r="P29" s="25"/>
      <c r="Q29" s="7">
        <f>P29/(F29+1E-106)*100-100</f>
        <v>-100</v>
      </c>
      <c r="R29" s="25"/>
      <c r="S29" s="7">
        <f t="shared" si="7"/>
        <v>-100</v>
      </c>
      <c r="T29" s="7">
        <f>R29/(F29+1E-106)*100-100</f>
        <v>-100</v>
      </c>
      <c r="U29" s="7">
        <f>R29-J29</f>
        <v>-4065.9859999999994</v>
      </c>
      <c r="V29" s="9"/>
      <c r="W29" s="34"/>
      <c r="X29" s="55"/>
      <c r="Z29" s="36"/>
    </row>
    <row r="30" spans="1:26" ht="12" customHeight="1">
      <c r="A30" s="12"/>
      <c r="B30" s="37" t="s">
        <v>42</v>
      </c>
      <c r="C30" s="44" t="s">
        <v>41</v>
      </c>
      <c r="D30" s="152">
        <v>385.6</v>
      </c>
      <c r="E30" s="244"/>
      <c r="F30" s="152">
        <v>445.02</v>
      </c>
      <c r="G30" s="244"/>
      <c r="H30" s="152">
        <v>445.02</v>
      </c>
      <c r="I30" s="245"/>
      <c r="J30" s="244">
        <f>H30*1.15</f>
        <v>511.77299999999997</v>
      </c>
      <c r="K30" s="238">
        <f t="shared" si="6"/>
        <v>14.999999999999986</v>
      </c>
      <c r="L30" s="152">
        <v>511.77</v>
      </c>
      <c r="M30" s="238">
        <f t="shared" si="1"/>
        <v>14.999325872994461</v>
      </c>
      <c r="N30" s="238">
        <f t="shared" si="12"/>
        <v>-0.002999999999985903</v>
      </c>
      <c r="O30" s="238"/>
      <c r="P30" s="29"/>
      <c r="Q30" s="30">
        <f>P30/(F30+1E-106)*100-100</f>
        <v>-100</v>
      </c>
      <c r="R30" s="29"/>
      <c r="S30" s="30">
        <f t="shared" si="7"/>
        <v>-100</v>
      </c>
      <c r="T30" s="30">
        <f>R30/(F30+1E-106)*100-100</f>
        <v>-100</v>
      </c>
      <c r="U30" s="30">
        <f>R30-J30</f>
        <v>-511.77299999999997</v>
      </c>
      <c r="V30" s="16"/>
      <c r="W30" s="31"/>
      <c r="Y30" s="21"/>
      <c r="Z30" s="22"/>
    </row>
    <row r="31" spans="1:26" ht="12" customHeight="1" hidden="1">
      <c r="A31" s="327" t="s">
        <v>33</v>
      </c>
      <c r="B31" s="4" t="s">
        <v>43</v>
      </c>
      <c r="C31" s="44"/>
      <c r="D31" s="235"/>
      <c r="E31" s="229"/>
      <c r="F31" s="235"/>
      <c r="G31" s="229"/>
      <c r="H31" s="235"/>
      <c r="I31" s="239" t="s">
        <v>67</v>
      </c>
      <c r="J31" s="229"/>
      <c r="K31" s="238"/>
      <c r="L31" s="235"/>
      <c r="M31" s="238"/>
      <c r="N31" s="238"/>
      <c r="O31" s="238"/>
      <c r="P31" s="29"/>
      <c r="Q31" s="30"/>
      <c r="R31" s="29"/>
      <c r="S31" s="30"/>
      <c r="T31" s="30"/>
      <c r="U31" s="30"/>
      <c r="V31" s="16"/>
      <c r="W31" s="351" t="s">
        <v>205</v>
      </c>
      <c r="Y31" s="21"/>
      <c r="Z31" s="22"/>
    </row>
    <row r="32" spans="1:26" ht="12" customHeight="1" hidden="1">
      <c r="A32" s="12"/>
      <c r="B32" s="28" t="s">
        <v>35</v>
      </c>
      <c r="C32" s="44" t="s">
        <v>36</v>
      </c>
      <c r="D32" s="152"/>
      <c r="E32" s="229">
        <f>E34*1000*E33/(E10+1E-99)</f>
        <v>0</v>
      </c>
      <c r="F32" s="152"/>
      <c r="G32" s="229">
        <f>G34*1000*G33/(G10+1E-99)</f>
        <v>0</v>
      </c>
      <c r="H32" s="152"/>
      <c r="I32" s="251" t="s">
        <v>67</v>
      </c>
      <c r="J32" s="244"/>
      <c r="K32" s="238">
        <f t="shared" si="6"/>
        <v>-100</v>
      </c>
      <c r="L32" s="152"/>
      <c r="M32" s="238">
        <f t="shared" si="1"/>
        <v>-100</v>
      </c>
      <c r="N32" s="238">
        <f t="shared" si="12"/>
        <v>0</v>
      </c>
      <c r="O32" s="238"/>
      <c r="P32" s="29"/>
      <c r="Q32" s="30">
        <f>P32/(F32+1E-106)*100-100</f>
        <v>-100</v>
      </c>
      <c r="R32" s="29"/>
      <c r="S32" s="30">
        <f t="shared" si="7"/>
        <v>-100</v>
      </c>
      <c r="T32" s="30">
        <f>R32/(F32+1E-106)*100-100</f>
        <v>-100</v>
      </c>
      <c r="U32" s="30">
        <f>R32-J32</f>
        <v>0</v>
      </c>
      <c r="V32" s="16"/>
      <c r="W32" s="354"/>
      <c r="Y32" s="21"/>
      <c r="Z32" s="22"/>
    </row>
    <row r="33" spans="1:26" ht="12" customHeight="1" hidden="1">
      <c r="A33" s="12"/>
      <c r="B33" s="28" t="s">
        <v>37</v>
      </c>
      <c r="C33" s="44"/>
      <c r="D33" s="152"/>
      <c r="E33" s="244"/>
      <c r="F33" s="152"/>
      <c r="G33" s="244"/>
      <c r="H33" s="152"/>
      <c r="I33" s="245" t="s">
        <v>67</v>
      </c>
      <c r="J33" s="244"/>
      <c r="K33" s="238">
        <f t="shared" si="6"/>
        <v>-100</v>
      </c>
      <c r="L33" s="152"/>
      <c r="M33" s="238">
        <f t="shared" si="1"/>
        <v>-100</v>
      </c>
      <c r="N33" s="238">
        <f t="shared" si="12"/>
        <v>0</v>
      </c>
      <c r="O33" s="238"/>
      <c r="P33" s="29"/>
      <c r="Q33" s="30">
        <f>P33/(F33+1E-106)*100-100</f>
        <v>-100</v>
      </c>
      <c r="R33" s="29"/>
      <c r="S33" s="30">
        <f t="shared" si="7"/>
        <v>-100</v>
      </c>
      <c r="T33" s="30">
        <f>R33/(F33+1E-106)*100-100</f>
        <v>-100</v>
      </c>
      <c r="U33" s="30">
        <f>R33-J33</f>
        <v>0</v>
      </c>
      <c r="V33" s="16"/>
      <c r="W33" s="354"/>
      <c r="Y33" s="21"/>
      <c r="Z33" s="22"/>
    </row>
    <row r="34" spans="1:26" ht="12" customHeight="1" hidden="1">
      <c r="A34" s="12"/>
      <c r="B34" s="13" t="s">
        <v>38</v>
      </c>
      <c r="C34" s="44" t="s">
        <v>44</v>
      </c>
      <c r="D34" s="235">
        <f>D32/(D33+1E-100)*D10/1000</f>
        <v>0</v>
      </c>
      <c r="E34" s="244"/>
      <c r="F34" s="235">
        <f>F32/(F33+1E-100)*F10/1000</f>
        <v>0</v>
      </c>
      <c r="G34" s="244"/>
      <c r="H34" s="235">
        <f>H32/(H33+1E-100)*H10/1000</f>
        <v>0</v>
      </c>
      <c r="I34" s="251" t="s">
        <v>67</v>
      </c>
      <c r="J34" s="229">
        <f>J32/(J33+1E-100)*J10/1000</f>
        <v>0</v>
      </c>
      <c r="K34" s="238">
        <f t="shared" si="6"/>
        <v>-100</v>
      </c>
      <c r="L34" s="235">
        <f>L32/(L33+1E-100)*L10/1000</f>
        <v>0</v>
      </c>
      <c r="M34" s="238">
        <f t="shared" si="1"/>
        <v>-100</v>
      </c>
      <c r="N34" s="238">
        <f t="shared" si="12"/>
        <v>0</v>
      </c>
      <c r="O34" s="238"/>
      <c r="P34" s="29">
        <f>P32/(P33+1E-100)*P10/1000</f>
        <v>0</v>
      </c>
      <c r="Q34" s="30">
        <f>P34/(F34+1E-106)*100-100</f>
        <v>-100</v>
      </c>
      <c r="R34" s="29">
        <f>R32/(R33+1E-100)*R10/1000</f>
        <v>0</v>
      </c>
      <c r="S34" s="30">
        <f t="shared" si="7"/>
        <v>-100</v>
      </c>
      <c r="T34" s="30">
        <f>R34/(F34+1E-106)*100-100</f>
        <v>-100</v>
      </c>
      <c r="U34" s="30">
        <f>R34-J34</f>
        <v>0</v>
      </c>
      <c r="V34" s="16"/>
      <c r="W34" s="354"/>
      <c r="Y34" s="21"/>
      <c r="Z34" s="22"/>
    </row>
    <row r="35" spans="1:26" s="35" customFormat="1" ht="12" customHeight="1" hidden="1">
      <c r="A35" s="3"/>
      <c r="B35" s="4" t="s">
        <v>40</v>
      </c>
      <c r="C35" s="44" t="s">
        <v>45</v>
      </c>
      <c r="D35" s="236"/>
      <c r="E35" s="239">
        <f>E102/(E34+1E-102)*1000</f>
        <v>0</v>
      </c>
      <c r="F35" s="236"/>
      <c r="G35" s="239">
        <f>G102/(G34+1E-102)*1000</f>
        <v>0</v>
      </c>
      <c r="H35" s="236"/>
      <c r="I35" s="251" t="s">
        <v>67</v>
      </c>
      <c r="J35" s="245"/>
      <c r="K35" s="238">
        <f t="shared" si="6"/>
        <v>-100</v>
      </c>
      <c r="L35" s="236"/>
      <c r="M35" s="238">
        <f t="shared" si="1"/>
        <v>-100</v>
      </c>
      <c r="N35" s="242">
        <f t="shared" si="12"/>
        <v>0</v>
      </c>
      <c r="O35" s="242"/>
      <c r="P35" s="25"/>
      <c r="Q35" s="7">
        <f>P35/(F35+1E-106)*100-100</f>
        <v>-100</v>
      </c>
      <c r="R35" s="25"/>
      <c r="S35" s="7">
        <f t="shared" si="7"/>
        <v>-100</v>
      </c>
      <c r="T35" s="7">
        <f>R35/(F35+1E-106)*100-100</f>
        <v>-100</v>
      </c>
      <c r="U35" s="7">
        <f>R35-J35</f>
        <v>0</v>
      </c>
      <c r="V35" s="9"/>
      <c r="W35" s="354"/>
      <c r="X35" s="55"/>
      <c r="Z35" s="36"/>
    </row>
    <row r="36" spans="1:26" ht="12" customHeight="1" hidden="1">
      <c r="A36" s="12"/>
      <c r="B36" s="37" t="s">
        <v>42</v>
      </c>
      <c r="C36" s="44" t="s">
        <v>45</v>
      </c>
      <c r="D36" s="152"/>
      <c r="E36" s="244"/>
      <c r="F36" s="152"/>
      <c r="G36" s="244"/>
      <c r="H36" s="152"/>
      <c r="I36" s="245" t="s">
        <v>67</v>
      </c>
      <c r="J36" s="244"/>
      <c r="K36" s="238">
        <f t="shared" si="6"/>
        <v>-100</v>
      </c>
      <c r="L36" s="152"/>
      <c r="M36" s="238">
        <f t="shared" si="1"/>
        <v>-100</v>
      </c>
      <c r="N36" s="238">
        <f t="shared" si="12"/>
        <v>0</v>
      </c>
      <c r="O36" s="238"/>
      <c r="P36" s="29"/>
      <c r="Q36" s="30">
        <f>P36/(F36+1E-106)*100-100</f>
        <v>-100</v>
      </c>
      <c r="R36" s="29"/>
      <c r="S36" s="30">
        <f t="shared" si="7"/>
        <v>-100</v>
      </c>
      <c r="T36" s="30">
        <f>R36/(F36+1E-106)*100-100</f>
        <v>-100</v>
      </c>
      <c r="U36" s="30">
        <f>R36-J36</f>
        <v>0</v>
      </c>
      <c r="V36" s="16"/>
      <c r="W36" s="355"/>
      <c r="Y36" s="21"/>
      <c r="Z36" s="22"/>
    </row>
    <row r="37" spans="1:26" ht="12" customHeight="1" hidden="1">
      <c r="A37" s="327" t="s">
        <v>33</v>
      </c>
      <c r="B37" s="4" t="s">
        <v>46</v>
      </c>
      <c r="C37" s="44"/>
      <c r="D37" s="235"/>
      <c r="E37" s="229"/>
      <c r="F37" s="235"/>
      <c r="G37" s="229"/>
      <c r="H37" s="235"/>
      <c r="I37" s="239" t="s">
        <v>67</v>
      </c>
      <c r="J37" s="229"/>
      <c r="K37" s="238"/>
      <c r="L37" s="235"/>
      <c r="M37" s="238"/>
      <c r="N37" s="238"/>
      <c r="O37" s="238"/>
      <c r="P37" s="29"/>
      <c r="Q37" s="30"/>
      <c r="R37" s="29"/>
      <c r="S37" s="30"/>
      <c r="T37" s="30"/>
      <c r="U37" s="30"/>
      <c r="V37" s="16"/>
      <c r="W37" s="31"/>
      <c r="Y37" s="21"/>
      <c r="Z37" s="22"/>
    </row>
    <row r="38" spans="1:26" ht="12" customHeight="1" hidden="1">
      <c r="A38" s="12"/>
      <c r="B38" s="28" t="s">
        <v>35</v>
      </c>
      <c r="C38" s="44" t="s">
        <v>36</v>
      </c>
      <c r="D38" s="152"/>
      <c r="E38" s="229">
        <f>E40*1000*E39/(E11+1E-97)</f>
        <v>0</v>
      </c>
      <c r="F38" s="152"/>
      <c r="G38" s="229">
        <f>G40*1000*G39/(G11+1E-97)</f>
        <v>0</v>
      </c>
      <c r="H38" s="152"/>
      <c r="I38" s="251" t="s">
        <v>67</v>
      </c>
      <c r="J38" s="244"/>
      <c r="K38" s="238">
        <f t="shared" si="6"/>
        <v>-100</v>
      </c>
      <c r="L38" s="152"/>
      <c r="M38" s="238">
        <f t="shared" si="1"/>
        <v>-100</v>
      </c>
      <c r="N38" s="238">
        <f t="shared" si="12"/>
        <v>0</v>
      </c>
      <c r="O38" s="238"/>
      <c r="P38" s="29"/>
      <c r="Q38" s="30">
        <f>P38/(F38+1E-106)*100-100</f>
        <v>-100</v>
      </c>
      <c r="R38" s="29"/>
      <c r="S38" s="30">
        <f t="shared" si="7"/>
        <v>-100</v>
      </c>
      <c r="T38" s="30">
        <f>R38/(F38+1E-106)*100-100</f>
        <v>-100</v>
      </c>
      <c r="U38" s="30">
        <f>R38-J38</f>
        <v>0</v>
      </c>
      <c r="V38" s="16"/>
      <c r="W38" s="351" t="s">
        <v>205</v>
      </c>
      <c r="Y38" s="21"/>
      <c r="Z38" s="22"/>
    </row>
    <row r="39" spans="1:26" ht="12" customHeight="1" hidden="1">
      <c r="A39" s="12"/>
      <c r="B39" s="28" t="s">
        <v>37</v>
      </c>
      <c r="C39" s="44"/>
      <c r="D39" s="152"/>
      <c r="E39" s="244"/>
      <c r="F39" s="152"/>
      <c r="G39" s="244"/>
      <c r="H39" s="152"/>
      <c r="I39" s="251" t="s">
        <v>67</v>
      </c>
      <c r="J39" s="244"/>
      <c r="K39" s="238">
        <f t="shared" si="6"/>
        <v>-100</v>
      </c>
      <c r="L39" s="152"/>
      <c r="M39" s="238">
        <f t="shared" si="1"/>
        <v>-100</v>
      </c>
      <c r="N39" s="238">
        <f t="shared" si="12"/>
        <v>0</v>
      </c>
      <c r="O39" s="238"/>
      <c r="P39" s="29"/>
      <c r="Q39" s="30">
        <f>P39/(F39+1E-106)*100-100</f>
        <v>-100</v>
      </c>
      <c r="R39" s="29"/>
      <c r="S39" s="30">
        <f t="shared" si="7"/>
        <v>-100</v>
      </c>
      <c r="T39" s="30">
        <f>R39/(F39+1E-106)*100-100</f>
        <v>-100</v>
      </c>
      <c r="U39" s="30">
        <f>R39-J39</f>
        <v>0</v>
      </c>
      <c r="V39" s="16"/>
      <c r="W39" s="352"/>
      <c r="Y39" s="21"/>
      <c r="Z39" s="22"/>
    </row>
    <row r="40" spans="1:26" ht="12" customHeight="1" hidden="1">
      <c r="A40" s="12"/>
      <c r="B40" s="13" t="s">
        <v>38</v>
      </c>
      <c r="C40" s="44" t="s">
        <v>44</v>
      </c>
      <c r="D40" s="235">
        <f>D38/(D39+1E-102)*D11/1000</f>
        <v>0</v>
      </c>
      <c r="E40" s="244"/>
      <c r="F40" s="235">
        <f>F38/(F39+1E-102)*F11/1000</f>
        <v>0</v>
      </c>
      <c r="G40" s="244"/>
      <c r="H40" s="235">
        <f>H38/(H39+1E-102)*H11/1000</f>
        <v>0</v>
      </c>
      <c r="I40" s="251" t="s">
        <v>67</v>
      </c>
      <c r="J40" s="229">
        <f>J38/(J39+1E-102)*J11/1000</f>
        <v>0</v>
      </c>
      <c r="K40" s="238">
        <f t="shared" si="6"/>
        <v>-100</v>
      </c>
      <c r="L40" s="235">
        <f>L38/(L39+1E-102)*L11/1000</f>
        <v>0</v>
      </c>
      <c r="M40" s="238">
        <f aca="true" t="shared" si="13" ref="M40:M70">L40/(H40+1E-106)*100-100</f>
        <v>-100</v>
      </c>
      <c r="N40" s="238">
        <f t="shared" si="12"/>
        <v>0</v>
      </c>
      <c r="O40" s="238"/>
      <c r="P40" s="29">
        <f>P38/(P39+1E-102)*P11/1000</f>
        <v>0</v>
      </c>
      <c r="Q40" s="30">
        <f>P40/(F40+1E-106)*100-100</f>
        <v>-100</v>
      </c>
      <c r="R40" s="29">
        <f>R38/(R39+1E-102)*R11/1000</f>
        <v>0</v>
      </c>
      <c r="S40" s="30">
        <f t="shared" si="7"/>
        <v>-100</v>
      </c>
      <c r="T40" s="30">
        <f>R40/(F40+1E-106)*100-100</f>
        <v>-100</v>
      </c>
      <c r="U40" s="30">
        <f>R40-J40</f>
        <v>0</v>
      </c>
      <c r="V40" s="16"/>
      <c r="W40" s="352"/>
      <c r="Y40" s="21"/>
      <c r="Z40" s="22"/>
    </row>
    <row r="41" spans="1:26" s="35" customFormat="1" ht="12" customHeight="1" hidden="1">
      <c r="A41" s="3"/>
      <c r="B41" s="4" t="s">
        <v>40</v>
      </c>
      <c r="C41" s="44" t="s">
        <v>45</v>
      </c>
      <c r="D41" s="236"/>
      <c r="E41" s="239">
        <f>E103/(E40+1E-103)*1000</f>
        <v>0</v>
      </c>
      <c r="F41" s="236"/>
      <c r="G41" s="239">
        <f>G103/(G40+1E-103)*1000</f>
        <v>0</v>
      </c>
      <c r="H41" s="236"/>
      <c r="I41" s="251" t="s">
        <v>67</v>
      </c>
      <c r="J41" s="245"/>
      <c r="K41" s="238">
        <f t="shared" si="6"/>
        <v>-100</v>
      </c>
      <c r="L41" s="236"/>
      <c r="M41" s="238">
        <f t="shared" si="13"/>
        <v>-100</v>
      </c>
      <c r="N41" s="242">
        <f t="shared" si="12"/>
        <v>0</v>
      </c>
      <c r="O41" s="242"/>
      <c r="P41" s="25"/>
      <c r="Q41" s="7">
        <f>P41/(F41+1E-106)*100-100</f>
        <v>-100</v>
      </c>
      <c r="R41" s="25"/>
      <c r="S41" s="7">
        <f t="shared" si="7"/>
        <v>-100</v>
      </c>
      <c r="T41" s="7">
        <f>R41/(F41+1E-106)*100-100</f>
        <v>-100</v>
      </c>
      <c r="U41" s="7">
        <f>R41-J41</f>
        <v>0</v>
      </c>
      <c r="V41" s="9"/>
      <c r="W41" s="352"/>
      <c r="X41" s="55"/>
      <c r="Z41" s="36"/>
    </row>
    <row r="42" spans="1:26" ht="12" customHeight="1" hidden="1">
      <c r="A42" s="12"/>
      <c r="B42" s="37" t="s">
        <v>42</v>
      </c>
      <c r="C42" s="44" t="s">
        <v>45</v>
      </c>
      <c r="D42" s="152"/>
      <c r="E42" s="244"/>
      <c r="F42" s="152"/>
      <c r="G42" s="244"/>
      <c r="H42" s="152"/>
      <c r="I42" s="245" t="s">
        <v>67</v>
      </c>
      <c r="J42" s="244"/>
      <c r="K42" s="238">
        <f t="shared" si="6"/>
        <v>-100</v>
      </c>
      <c r="L42" s="152"/>
      <c r="M42" s="238">
        <f t="shared" si="13"/>
        <v>-100</v>
      </c>
      <c r="N42" s="238">
        <f t="shared" si="12"/>
        <v>0</v>
      </c>
      <c r="O42" s="233"/>
      <c r="P42" s="29"/>
      <c r="Q42" s="30">
        <f>P42/(F42+1E-106)*100-100</f>
        <v>-100</v>
      </c>
      <c r="R42" s="29"/>
      <c r="S42" s="30">
        <f t="shared" si="7"/>
        <v>-100</v>
      </c>
      <c r="T42" s="30">
        <f>R42/(F42+1E-106)*100-100</f>
        <v>-100</v>
      </c>
      <c r="U42" s="30">
        <f>R42-J42</f>
        <v>0</v>
      </c>
      <c r="V42" s="16"/>
      <c r="W42" s="353"/>
      <c r="Y42" s="21"/>
      <c r="Z42" s="22"/>
    </row>
    <row r="43" spans="1:26" ht="12" customHeight="1" hidden="1">
      <c r="A43" s="327" t="s">
        <v>33</v>
      </c>
      <c r="B43" s="4" t="s">
        <v>47</v>
      </c>
      <c r="C43" s="44"/>
      <c r="D43" s="235"/>
      <c r="E43" s="229"/>
      <c r="F43" s="235"/>
      <c r="G43" s="229"/>
      <c r="H43" s="235"/>
      <c r="I43" s="239" t="s">
        <v>67</v>
      </c>
      <c r="J43" s="229"/>
      <c r="K43" s="238"/>
      <c r="L43" s="235"/>
      <c r="M43" s="238"/>
      <c r="N43" s="238"/>
      <c r="O43" s="238"/>
      <c r="P43" s="29"/>
      <c r="Q43" s="30"/>
      <c r="R43" s="29"/>
      <c r="S43" s="30"/>
      <c r="T43" s="30"/>
      <c r="U43" s="30"/>
      <c r="V43" s="16"/>
      <c r="W43" s="31"/>
      <c r="Y43" s="21"/>
      <c r="Z43" s="22"/>
    </row>
    <row r="44" spans="1:26" ht="12" customHeight="1" hidden="1">
      <c r="A44" s="12"/>
      <c r="B44" s="28" t="s">
        <v>35</v>
      </c>
      <c r="C44" s="44" t="s">
        <v>36</v>
      </c>
      <c r="D44" s="152"/>
      <c r="E44" s="229">
        <f>E46*1000*E45/(E12+1E-99)</f>
        <v>0</v>
      </c>
      <c r="F44" s="152"/>
      <c r="G44" s="229">
        <f>G46*1000*G45/(G12+1E-99)</f>
        <v>0</v>
      </c>
      <c r="H44" s="152"/>
      <c r="I44" s="251" t="s">
        <v>67</v>
      </c>
      <c r="J44" s="244"/>
      <c r="K44" s="238">
        <f t="shared" si="6"/>
        <v>-100</v>
      </c>
      <c r="L44" s="152"/>
      <c r="M44" s="238">
        <f t="shared" si="13"/>
        <v>-100</v>
      </c>
      <c r="N44" s="238">
        <f aca="true" t="shared" si="14" ref="N44:N69">L44-J44</f>
        <v>0</v>
      </c>
      <c r="O44" s="238"/>
      <c r="P44" s="29"/>
      <c r="Q44" s="30">
        <f>P44/(F44+1E-106)*100-100</f>
        <v>-100</v>
      </c>
      <c r="R44" s="29"/>
      <c r="S44" s="30">
        <f t="shared" si="7"/>
        <v>-100</v>
      </c>
      <c r="T44" s="30">
        <f>R44/(F44+1E-106)*100-100</f>
        <v>-100</v>
      </c>
      <c r="U44" s="30">
        <f>R44-J44</f>
        <v>0</v>
      </c>
      <c r="V44" s="16"/>
      <c r="W44" s="351" t="s">
        <v>205</v>
      </c>
      <c r="Y44" s="21"/>
      <c r="Z44" s="22"/>
    </row>
    <row r="45" spans="1:26" ht="12" customHeight="1" hidden="1">
      <c r="A45" s="12"/>
      <c r="B45" s="28" t="s">
        <v>37</v>
      </c>
      <c r="C45" s="44"/>
      <c r="D45" s="152"/>
      <c r="E45" s="244"/>
      <c r="F45" s="152"/>
      <c r="G45" s="244"/>
      <c r="H45" s="152"/>
      <c r="I45" s="245" t="s">
        <v>67</v>
      </c>
      <c r="J45" s="244"/>
      <c r="K45" s="238">
        <f t="shared" si="6"/>
        <v>-100</v>
      </c>
      <c r="L45" s="152"/>
      <c r="M45" s="238">
        <f t="shared" si="13"/>
        <v>-100</v>
      </c>
      <c r="N45" s="238">
        <f t="shared" si="14"/>
        <v>0</v>
      </c>
      <c r="O45" s="233"/>
      <c r="P45" s="29"/>
      <c r="Q45" s="30">
        <f>P45/(F45+1E-106)*100-100</f>
        <v>-100</v>
      </c>
      <c r="R45" s="29"/>
      <c r="S45" s="30">
        <f t="shared" si="7"/>
        <v>-100</v>
      </c>
      <c r="T45" s="30">
        <f>R45/(F45+1E-106)*100-100</f>
        <v>-100</v>
      </c>
      <c r="U45" s="30">
        <f>R45-J45</f>
        <v>0</v>
      </c>
      <c r="V45" s="16"/>
      <c r="W45" s="352"/>
      <c r="Y45" s="21"/>
      <c r="Z45" s="22"/>
    </row>
    <row r="46" spans="1:26" ht="12" customHeight="1" hidden="1">
      <c r="A46" s="12"/>
      <c r="B46" s="13" t="s">
        <v>38</v>
      </c>
      <c r="C46" s="44" t="s">
        <v>44</v>
      </c>
      <c r="D46" s="235">
        <f>D44/(D45+1E-105)*D12/1000</f>
        <v>0</v>
      </c>
      <c r="E46" s="244"/>
      <c r="F46" s="235">
        <f>F44/(F45+1E-105)*F12/1000</f>
        <v>0</v>
      </c>
      <c r="G46" s="244"/>
      <c r="H46" s="235">
        <f>H44/(H45+1E-105)*H12/1000</f>
        <v>0</v>
      </c>
      <c r="I46" s="251" t="s">
        <v>67</v>
      </c>
      <c r="J46" s="229">
        <f>J44/(J45+1E-105)*J12/1000</f>
        <v>0</v>
      </c>
      <c r="K46" s="238">
        <f t="shared" si="6"/>
        <v>-100</v>
      </c>
      <c r="L46" s="235">
        <f>L44/(L45+1E-105)*L12/1000</f>
        <v>0</v>
      </c>
      <c r="M46" s="238">
        <f t="shared" si="13"/>
        <v>-100</v>
      </c>
      <c r="N46" s="238">
        <f t="shared" si="14"/>
        <v>0</v>
      </c>
      <c r="O46" s="238"/>
      <c r="P46" s="29">
        <f>P44/(P45+1E-105)*P12/1000</f>
        <v>0</v>
      </c>
      <c r="Q46" s="30">
        <f>P46/(F46+1E-106)*100-100</f>
        <v>-100</v>
      </c>
      <c r="R46" s="29">
        <f>R44/(R45+1E-105)*R12/1000</f>
        <v>0</v>
      </c>
      <c r="S46" s="30">
        <f t="shared" si="7"/>
        <v>-100</v>
      </c>
      <c r="T46" s="30">
        <f>R46/(F46+1E-106)*100-100</f>
        <v>-100</v>
      </c>
      <c r="U46" s="30">
        <f>R46-J46</f>
        <v>0</v>
      </c>
      <c r="V46" s="16"/>
      <c r="W46" s="352"/>
      <c r="Y46" s="21"/>
      <c r="Z46" s="22"/>
    </row>
    <row r="47" spans="1:26" s="35" customFormat="1" ht="12" customHeight="1" hidden="1">
      <c r="A47" s="3"/>
      <c r="B47" s="4" t="s">
        <v>40</v>
      </c>
      <c r="C47" s="44" t="s">
        <v>45</v>
      </c>
      <c r="D47" s="236"/>
      <c r="E47" s="239">
        <f>E104/(E46+1E-102)*1000</f>
        <v>0</v>
      </c>
      <c r="F47" s="236"/>
      <c r="G47" s="239">
        <f>G104/(G46+1E-102)*1000</f>
        <v>0</v>
      </c>
      <c r="H47" s="236"/>
      <c r="I47" s="251" t="s">
        <v>67</v>
      </c>
      <c r="J47" s="245"/>
      <c r="K47" s="238">
        <f t="shared" si="6"/>
        <v>-100</v>
      </c>
      <c r="L47" s="236"/>
      <c r="M47" s="238">
        <f t="shared" si="13"/>
        <v>-100</v>
      </c>
      <c r="N47" s="242">
        <f t="shared" si="14"/>
        <v>0</v>
      </c>
      <c r="O47" s="242"/>
      <c r="P47" s="25"/>
      <c r="Q47" s="7">
        <f>P47/(F47+1E-106)*100-100</f>
        <v>-100</v>
      </c>
      <c r="R47" s="25"/>
      <c r="S47" s="7">
        <f t="shared" si="7"/>
        <v>-100</v>
      </c>
      <c r="T47" s="7">
        <f>R47/(F47+1E-106)*100-100</f>
        <v>-100</v>
      </c>
      <c r="U47" s="7">
        <f>R47-J47</f>
        <v>0</v>
      </c>
      <c r="V47" s="9"/>
      <c r="W47" s="352"/>
      <c r="X47" s="55"/>
      <c r="Z47" s="36"/>
    </row>
    <row r="48" spans="1:26" ht="12" customHeight="1" hidden="1">
      <c r="A48" s="12"/>
      <c r="B48" s="37" t="s">
        <v>42</v>
      </c>
      <c r="C48" s="44" t="s">
        <v>45</v>
      </c>
      <c r="D48" s="152"/>
      <c r="E48" s="244"/>
      <c r="F48" s="152"/>
      <c r="G48" s="244"/>
      <c r="H48" s="152"/>
      <c r="I48" s="245" t="s">
        <v>67</v>
      </c>
      <c r="J48" s="244"/>
      <c r="K48" s="238">
        <f t="shared" si="6"/>
        <v>-100</v>
      </c>
      <c r="L48" s="152"/>
      <c r="M48" s="238">
        <f t="shared" si="13"/>
        <v>-100</v>
      </c>
      <c r="N48" s="238">
        <f t="shared" si="14"/>
        <v>0</v>
      </c>
      <c r="O48" s="233"/>
      <c r="P48" s="29"/>
      <c r="Q48" s="30">
        <f>P48/(F48+1E-106)*100-100</f>
        <v>-100</v>
      </c>
      <c r="R48" s="29"/>
      <c r="S48" s="30">
        <f t="shared" si="7"/>
        <v>-100</v>
      </c>
      <c r="T48" s="30">
        <f>R48/(F48+1E-106)*100-100</f>
        <v>-100</v>
      </c>
      <c r="U48" s="30">
        <f>R48-J48</f>
        <v>0</v>
      </c>
      <c r="V48" s="16"/>
      <c r="W48" s="353"/>
      <c r="Y48" s="21"/>
      <c r="Z48" s="22"/>
    </row>
    <row r="49" spans="1:26" ht="12" customHeight="1" hidden="1">
      <c r="A49" s="327" t="s">
        <v>33</v>
      </c>
      <c r="B49" s="4" t="s">
        <v>48</v>
      </c>
      <c r="C49" s="44"/>
      <c r="D49" s="235"/>
      <c r="E49" s="229"/>
      <c r="F49" s="235"/>
      <c r="G49" s="229"/>
      <c r="H49" s="235"/>
      <c r="I49" s="239" t="s">
        <v>67</v>
      </c>
      <c r="J49" s="229"/>
      <c r="K49" s="238"/>
      <c r="L49" s="235"/>
      <c r="M49" s="238"/>
      <c r="N49" s="238"/>
      <c r="O49" s="238"/>
      <c r="P49" s="29"/>
      <c r="Q49" s="30"/>
      <c r="R49" s="29"/>
      <c r="S49" s="30"/>
      <c r="T49" s="30"/>
      <c r="U49" s="30"/>
      <c r="V49" s="16"/>
      <c r="W49" s="31"/>
      <c r="Y49" s="21"/>
      <c r="Z49" s="22"/>
    </row>
    <row r="50" spans="1:26" ht="12" customHeight="1" hidden="1">
      <c r="A50" s="12"/>
      <c r="B50" s="28" t="s">
        <v>35</v>
      </c>
      <c r="C50" s="44" t="s">
        <v>36</v>
      </c>
      <c r="D50" s="152"/>
      <c r="E50" s="229">
        <f>E52*1000*E51/(E13+1E-97)</f>
        <v>0</v>
      </c>
      <c r="F50" s="152"/>
      <c r="G50" s="229">
        <f>G52*1000*G51/(G13+1E-97)</f>
        <v>0</v>
      </c>
      <c r="H50" s="152"/>
      <c r="I50" s="251" t="s">
        <v>67</v>
      </c>
      <c r="J50" s="244"/>
      <c r="K50" s="238">
        <f t="shared" si="6"/>
        <v>-100</v>
      </c>
      <c r="L50" s="152"/>
      <c r="M50" s="238">
        <f t="shared" si="13"/>
        <v>-100</v>
      </c>
      <c r="N50" s="238">
        <f t="shared" si="14"/>
        <v>0</v>
      </c>
      <c r="O50" s="238"/>
      <c r="P50" s="29"/>
      <c r="Q50" s="30">
        <f>P50/(F50+1E-106)*100-100</f>
        <v>-100</v>
      </c>
      <c r="R50" s="29"/>
      <c r="S50" s="30">
        <f t="shared" si="7"/>
        <v>-100</v>
      </c>
      <c r="T50" s="30">
        <f>R50/(F50+1E-106)*100-100</f>
        <v>-100</v>
      </c>
      <c r="U50" s="30">
        <f>R50-J50</f>
        <v>0</v>
      </c>
      <c r="V50" s="16"/>
      <c r="W50" s="351" t="s">
        <v>205</v>
      </c>
      <c r="Y50" s="21"/>
      <c r="Z50" s="22"/>
    </row>
    <row r="51" spans="1:26" ht="12" customHeight="1" hidden="1">
      <c r="A51" s="12"/>
      <c r="B51" s="28" t="s">
        <v>37</v>
      </c>
      <c r="C51" s="44"/>
      <c r="D51" s="152"/>
      <c r="E51" s="244"/>
      <c r="F51" s="152"/>
      <c r="G51" s="244"/>
      <c r="H51" s="152"/>
      <c r="I51" s="245" t="s">
        <v>67</v>
      </c>
      <c r="J51" s="244"/>
      <c r="K51" s="238">
        <f t="shared" si="6"/>
        <v>-100</v>
      </c>
      <c r="L51" s="152"/>
      <c r="M51" s="238">
        <f t="shared" si="13"/>
        <v>-100</v>
      </c>
      <c r="N51" s="238">
        <f t="shared" si="14"/>
        <v>0</v>
      </c>
      <c r="O51" s="233"/>
      <c r="P51" s="29"/>
      <c r="Q51" s="30">
        <f>P51/(F51+1E-106)*100-100</f>
        <v>-100</v>
      </c>
      <c r="R51" s="29"/>
      <c r="S51" s="30">
        <f t="shared" si="7"/>
        <v>-100</v>
      </c>
      <c r="T51" s="30">
        <f>R51/(F51+1E-106)*100-100</f>
        <v>-100</v>
      </c>
      <c r="U51" s="30">
        <f>R51-J51</f>
        <v>0</v>
      </c>
      <c r="V51" s="16"/>
      <c r="W51" s="352"/>
      <c r="Y51" s="21"/>
      <c r="Z51" s="22"/>
    </row>
    <row r="52" spans="1:26" ht="12" customHeight="1" hidden="1">
      <c r="A52" s="12"/>
      <c r="B52" s="13" t="s">
        <v>38</v>
      </c>
      <c r="C52" s="44" t="s">
        <v>44</v>
      </c>
      <c r="D52" s="235">
        <f>D50/(D51+1E-101)*D13/1000</f>
        <v>0</v>
      </c>
      <c r="E52" s="244"/>
      <c r="F52" s="235">
        <f>F50/(F51+1E-101)*F13/1000</f>
        <v>0</v>
      </c>
      <c r="G52" s="244"/>
      <c r="H52" s="235">
        <f>H50/(H51+1E-101)*H13/1000</f>
        <v>0</v>
      </c>
      <c r="I52" s="251" t="s">
        <v>67</v>
      </c>
      <c r="J52" s="229">
        <f>J50/(J51+1E-101)*J13/1000</f>
        <v>0</v>
      </c>
      <c r="K52" s="238">
        <f t="shared" si="6"/>
        <v>-100</v>
      </c>
      <c r="L52" s="235">
        <f>L50/(L51+1E-101)*L13/1000</f>
        <v>0</v>
      </c>
      <c r="M52" s="238">
        <f t="shared" si="13"/>
        <v>-100</v>
      </c>
      <c r="N52" s="238">
        <f t="shared" si="14"/>
        <v>0</v>
      </c>
      <c r="O52" s="238"/>
      <c r="P52" s="29">
        <f>P50/(P51+1E-101)*P13/1000</f>
        <v>0</v>
      </c>
      <c r="Q52" s="30">
        <f>P52/(F52+1E-106)*100-100</f>
        <v>-100</v>
      </c>
      <c r="R52" s="29">
        <f>R50/(R51+1E-101)*R13/1000</f>
        <v>0</v>
      </c>
      <c r="S52" s="30">
        <f t="shared" si="7"/>
        <v>-100</v>
      </c>
      <c r="T52" s="30">
        <f>R52/(F52+1E-106)*100-100</f>
        <v>-100</v>
      </c>
      <c r="U52" s="30">
        <f>R52-J52</f>
        <v>0</v>
      </c>
      <c r="V52" s="16"/>
      <c r="W52" s="352"/>
      <c r="Y52" s="21"/>
      <c r="Z52" s="22"/>
    </row>
    <row r="53" spans="1:26" s="35" customFormat="1" ht="12" customHeight="1" hidden="1">
      <c r="A53" s="3"/>
      <c r="B53" s="4" t="s">
        <v>40</v>
      </c>
      <c r="C53" s="44" t="s">
        <v>45</v>
      </c>
      <c r="D53" s="236"/>
      <c r="E53" s="239">
        <f>E105/(E52+1E-102)*1000</f>
        <v>0</v>
      </c>
      <c r="F53" s="236"/>
      <c r="G53" s="239">
        <f>G105/(G52+1E-102)*1000</f>
        <v>0</v>
      </c>
      <c r="H53" s="236"/>
      <c r="I53" s="245" t="s">
        <v>67</v>
      </c>
      <c r="J53" s="245"/>
      <c r="K53" s="238">
        <f t="shared" si="6"/>
        <v>-100</v>
      </c>
      <c r="L53" s="236"/>
      <c r="M53" s="238">
        <f t="shared" si="13"/>
        <v>-100</v>
      </c>
      <c r="N53" s="242">
        <f t="shared" si="14"/>
        <v>0</v>
      </c>
      <c r="O53" s="242"/>
      <c r="P53" s="25"/>
      <c r="Q53" s="7">
        <f>P53/(F53+1E-106)*100-100</f>
        <v>-100</v>
      </c>
      <c r="R53" s="25"/>
      <c r="S53" s="7">
        <f t="shared" si="7"/>
        <v>-100</v>
      </c>
      <c r="T53" s="7">
        <f>R53/(F53+1E-106)*100-100</f>
        <v>-100</v>
      </c>
      <c r="U53" s="7">
        <f>R53-J53</f>
        <v>0</v>
      </c>
      <c r="V53" s="9"/>
      <c r="W53" s="352"/>
      <c r="X53" s="55"/>
      <c r="Z53" s="36"/>
    </row>
    <row r="54" spans="1:26" ht="12" customHeight="1" hidden="1">
      <c r="A54" s="12"/>
      <c r="B54" s="37" t="s">
        <v>42</v>
      </c>
      <c r="C54" s="44" t="s">
        <v>45</v>
      </c>
      <c r="D54" s="152"/>
      <c r="E54" s="244"/>
      <c r="F54" s="152"/>
      <c r="G54" s="244"/>
      <c r="H54" s="152"/>
      <c r="I54" s="245" t="s">
        <v>67</v>
      </c>
      <c r="J54" s="244"/>
      <c r="K54" s="238">
        <f t="shared" si="6"/>
        <v>-100</v>
      </c>
      <c r="L54" s="152"/>
      <c r="M54" s="238">
        <f t="shared" si="13"/>
        <v>-100</v>
      </c>
      <c r="N54" s="238">
        <f t="shared" si="14"/>
        <v>0</v>
      </c>
      <c r="O54" s="233"/>
      <c r="P54" s="29"/>
      <c r="Q54" s="30">
        <f>P54/(F54+1E-106)*100-100</f>
        <v>-100</v>
      </c>
      <c r="R54" s="29"/>
      <c r="S54" s="30">
        <f t="shared" si="7"/>
        <v>-100</v>
      </c>
      <c r="T54" s="30">
        <f>R54/(F54+1E-106)*100-100</f>
        <v>-100</v>
      </c>
      <c r="U54" s="30">
        <f>R54-J54</f>
        <v>0</v>
      </c>
      <c r="V54" s="16"/>
      <c r="W54" s="353"/>
      <c r="Y54" s="21"/>
      <c r="Z54" s="22"/>
    </row>
    <row r="55" spans="1:26" ht="12" customHeight="1" hidden="1">
      <c r="A55" s="327" t="s">
        <v>33</v>
      </c>
      <c r="B55" s="4" t="s">
        <v>49</v>
      </c>
      <c r="C55" s="44"/>
      <c r="D55" s="235"/>
      <c r="E55" s="229"/>
      <c r="F55" s="235"/>
      <c r="G55" s="229"/>
      <c r="H55" s="235"/>
      <c r="I55" s="239" t="s">
        <v>67</v>
      </c>
      <c r="J55" s="229"/>
      <c r="K55" s="238"/>
      <c r="L55" s="235"/>
      <c r="M55" s="238"/>
      <c r="N55" s="238"/>
      <c r="O55" s="238"/>
      <c r="P55" s="29"/>
      <c r="Q55" s="30"/>
      <c r="R55" s="29"/>
      <c r="S55" s="30"/>
      <c r="T55" s="30"/>
      <c r="U55" s="30"/>
      <c r="V55" s="16"/>
      <c r="W55" s="31"/>
      <c r="Y55" s="21"/>
      <c r="Z55" s="22"/>
    </row>
    <row r="56" spans="1:26" ht="12" customHeight="1" hidden="1">
      <c r="A56" s="12"/>
      <c r="B56" s="28" t="s">
        <v>35</v>
      </c>
      <c r="C56" s="44" t="s">
        <v>36</v>
      </c>
      <c r="D56" s="152"/>
      <c r="E56" s="229">
        <f>E58*1000*E57/(E14+1E-96)</f>
        <v>0</v>
      </c>
      <c r="F56" s="152"/>
      <c r="G56" s="229">
        <f>G58*1000*G57/(G14+1E-96)</f>
        <v>0</v>
      </c>
      <c r="H56" s="152"/>
      <c r="I56" s="245" t="s">
        <v>67</v>
      </c>
      <c r="J56" s="244"/>
      <c r="K56" s="238">
        <f t="shared" si="6"/>
        <v>-100</v>
      </c>
      <c r="L56" s="152"/>
      <c r="M56" s="238">
        <f t="shared" si="13"/>
        <v>-100</v>
      </c>
      <c r="N56" s="238">
        <f t="shared" si="14"/>
        <v>0</v>
      </c>
      <c r="O56" s="238"/>
      <c r="P56" s="29"/>
      <c r="Q56" s="30">
        <f>P56/(F56+1E-106)*100-100</f>
        <v>-100</v>
      </c>
      <c r="R56" s="29"/>
      <c r="S56" s="30">
        <f t="shared" si="7"/>
        <v>-100</v>
      </c>
      <c r="T56" s="30">
        <f>R56/(F56+1E-106)*100-100</f>
        <v>-100</v>
      </c>
      <c r="U56" s="30">
        <f>R56-J56</f>
        <v>0</v>
      </c>
      <c r="V56" s="16"/>
      <c r="W56" s="351" t="s">
        <v>205</v>
      </c>
      <c r="Y56" s="21"/>
      <c r="Z56" s="22"/>
    </row>
    <row r="57" spans="1:26" ht="12" customHeight="1" hidden="1">
      <c r="A57" s="12"/>
      <c r="B57" s="28" t="s">
        <v>37</v>
      </c>
      <c r="C57" s="44"/>
      <c r="D57" s="152"/>
      <c r="E57" s="244"/>
      <c r="F57" s="152"/>
      <c r="G57" s="244"/>
      <c r="H57" s="152"/>
      <c r="I57" s="239" t="s">
        <v>67</v>
      </c>
      <c r="J57" s="244"/>
      <c r="K57" s="238">
        <f t="shared" si="6"/>
        <v>-100</v>
      </c>
      <c r="L57" s="152"/>
      <c r="M57" s="238">
        <f t="shared" si="13"/>
        <v>-100</v>
      </c>
      <c r="N57" s="238">
        <f t="shared" si="14"/>
        <v>0</v>
      </c>
      <c r="O57" s="233"/>
      <c r="P57" s="29"/>
      <c r="Q57" s="30">
        <f>P57/(F57+1E-106)*100-100</f>
        <v>-100</v>
      </c>
      <c r="R57" s="29"/>
      <c r="S57" s="30">
        <f t="shared" si="7"/>
        <v>-100</v>
      </c>
      <c r="T57" s="30">
        <f>R57/(F57+1E-106)*100-100</f>
        <v>-100</v>
      </c>
      <c r="U57" s="30">
        <f>R57-J57</f>
        <v>0</v>
      </c>
      <c r="V57" s="16"/>
      <c r="W57" s="352"/>
      <c r="Y57" s="21"/>
      <c r="Z57" s="22"/>
    </row>
    <row r="58" spans="1:26" ht="12" customHeight="1" hidden="1">
      <c r="A58" s="12"/>
      <c r="B58" s="13" t="s">
        <v>38</v>
      </c>
      <c r="C58" s="44" t="s">
        <v>44</v>
      </c>
      <c r="D58" s="235">
        <f>D56/(D57+1E-101)*D14/1000</f>
        <v>0</v>
      </c>
      <c r="E58" s="244"/>
      <c r="F58" s="235">
        <f>F56/(F57+1E-101)*F14/1000</f>
        <v>0</v>
      </c>
      <c r="G58" s="244"/>
      <c r="H58" s="235">
        <f>H56/(H57+1E-101)*H14/1000</f>
        <v>0</v>
      </c>
      <c r="I58" s="251" t="s">
        <v>67</v>
      </c>
      <c r="J58" s="229">
        <f>J56/(J57+1E-101)*J14/1000</f>
        <v>0</v>
      </c>
      <c r="K58" s="238">
        <f t="shared" si="6"/>
        <v>-100</v>
      </c>
      <c r="L58" s="235">
        <f>L56/(L57+1E-101)*L14/1000</f>
        <v>0</v>
      </c>
      <c r="M58" s="238">
        <f t="shared" si="13"/>
        <v>-100</v>
      </c>
      <c r="N58" s="238">
        <f t="shared" si="14"/>
        <v>0</v>
      </c>
      <c r="O58" s="238"/>
      <c r="P58" s="29">
        <f>P56/(P57+1E-101)*P14/1000</f>
        <v>0</v>
      </c>
      <c r="Q58" s="30">
        <f>P58/(F58+1E-106)*100-100</f>
        <v>-100</v>
      </c>
      <c r="R58" s="29">
        <f>R56/(R57+1E-101)*R14/1000</f>
        <v>0</v>
      </c>
      <c r="S58" s="30">
        <f t="shared" si="7"/>
        <v>-100</v>
      </c>
      <c r="T58" s="30">
        <f>R58/(F58+1E-106)*100-100</f>
        <v>-100</v>
      </c>
      <c r="U58" s="30">
        <f>R58-J58</f>
        <v>0</v>
      </c>
      <c r="V58" s="16"/>
      <c r="W58" s="352"/>
      <c r="Y58" s="21"/>
      <c r="Z58" s="22"/>
    </row>
    <row r="59" spans="1:26" s="35" customFormat="1" ht="12" customHeight="1" hidden="1">
      <c r="A59" s="3"/>
      <c r="B59" s="4" t="s">
        <v>40</v>
      </c>
      <c r="C59" s="44" t="s">
        <v>45</v>
      </c>
      <c r="D59" s="236"/>
      <c r="E59" s="239">
        <f>E106/(E58+1E-102)*1000</f>
        <v>0</v>
      </c>
      <c r="F59" s="236"/>
      <c r="G59" s="239">
        <f>G106/(G58+1E-102)*1000</f>
        <v>0</v>
      </c>
      <c r="H59" s="236"/>
      <c r="I59" s="251" t="s">
        <v>67</v>
      </c>
      <c r="J59" s="245"/>
      <c r="K59" s="238">
        <f t="shared" si="6"/>
        <v>-100</v>
      </c>
      <c r="L59" s="236"/>
      <c r="M59" s="238">
        <f t="shared" si="13"/>
        <v>-100</v>
      </c>
      <c r="N59" s="242">
        <f t="shared" si="14"/>
        <v>0</v>
      </c>
      <c r="O59" s="241"/>
      <c r="P59" s="25"/>
      <c r="Q59" s="7">
        <f>P59/(F59+1E-106)*100-100</f>
        <v>-100</v>
      </c>
      <c r="R59" s="25"/>
      <c r="S59" s="7">
        <f t="shared" si="7"/>
        <v>-100</v>
      </c>
      <c r="T59" s="7">
        <f>R59/(F59+1E-106)*100-100</f>
        <v>-100</v>
      </c>
      <c r="U59" s="7">
        <f>R59-J59</f>
        <v>0</v>
      </c>
      <c r="V59" s="9"/>
      <c r="W59" s="352"/>
      <c r="X59" s="55"/>
      <c r="Z59" s="36"/>
    </row>
    <row r="60" spans="1:26" ht="12" customHeight="1" hidden="1">
      <c r="A60" s="12"/>
      <c r="B60" s="37" t="s">
        <v>42</v>
      </c>
      <c r="C60" s="44" t="s">
        <v>45</v>
      </c>
      <c r="D60" s="152"/>
      <c r="E60" s="244"/>
      <c r="F60" s="152"/>
      <c r="G60" s="244"/>
      <c r="H60" s="152"/>
      <c r="I60" s="245" t="s">
        <v>67</v>
      </c>
      <c r="J60" s="244"/>
      <c r="K60" s="238">
        <f t="shared" si="6"/>
        <v>-100</v>
      </c>
      <c r="L60" s="152"/>
      <c r="M60" s="238">
        <f t="shared" si="13"/>
        <v>-100</v>
      </c>
      <c r="N60" s="238">
        <f t="shared" si="14"/>
        <v>0</v>
      </c>
      <c r="O60" s="233"/>
      <c r="P60" s="29"/>
      <c r="Q60" s="30">
        <f>P60/(F60+1E-106)*100-100</f>
        <v>-100</v>
      </c>
      <c r="R60" s="29"/>
      <c r="S60" s="30">
        <f t="shared" si="7"/>
        <v>-100</v>
      </c>
      <c r="T60" s="30">
        <f>R60/(F60+1E-106)*100-100</f>
        <v>-100</v>
      </c>
      <c r="U60" s="30">
        <f>R60-J60</f>
        <v>0</v>
      </c>
      <c r="V60" s="16"/>
      <c r="W60" s="353"/>
      <c r="Y60" s="21"/>
      <c r="Z60" s="22"/>
    </row>
    <row r="61" spans="1:26" ht="12" customHeight="1" hidden="1">
      <c r="A61" s="327" t="s">
        <v>33</v>
      </c>
      <c r="B61" s="4" t="s">
        <v>50</v>
      </c>
      <c r="C61" s="44"/>
      <c r="D61" s="235"/>
      <c r="E61" s="229"/>
      <c r="F61" s="235"/>
      <c r="G61" s="229"/>
      <c r="H61" s="235"/>
      <c r="I61" s="239" t="s">
        <v>67</v>
      </c>
      <c r="J61" s="229"/>
      <c r="K61" s="238"/>
      <c r="L61" s="235"/>
      <c r="M61" s="238"/>
      <c r="N61" s="238"/>
      <c r="O61" s="238"/>
      <c r="P61" s="29"/>
      <c r="Q61" s="30"/>
      <c r="R61" s="29"/>
      <c r="S61" s="30"/>
      <c r="T61" s="30"/>
      <c r="U61" s="30"/>
      <c r="V61" s="16"/>
      <c r="W61" s="31"/>
      <c r="Y61" s="21"/>
      <c r="Z61" s="22"/>
    </row>
    <row r="62" spans="1:26" ht="12" customHeight="1" hidden="1">
      <c r="A62" s="12"/>
      <c r="B62" s="28" t="s">
        <v>35</v>
      </c>
      <c r="C62" s="44" t="s">
        <v>36</v>
      </c>
      <c r="D62" s="152"/>
      <c r="E62" s="229">
        <f>E64*1000*E63/(E15+1E-98)</f>
        <v>0</v>
      </c>
      <c r="F62" s="152"/>
      <c r="G62" s="229">
        <f>G64*1000*G63/(G15+1E-98)</f>
        <v>0</v>
      </c>
      <c r="H62" s="152"/>
      <c r="I62" s="245" t="s">
        <v>67</v>
      </c>
      <c r="J62" s="244"/>
      <c r="K62" s="238">
        <f t="shared" si="6"/>
        <v>-100</v>
      </c>
      <c r="L62" s="152"/>
      <c r="M62" s="238">
        <f t="shared" si="13"/>
        <v>-100</v>
      </c>
      <c r="N62" s="238">
        <f t="shared" si="14"/>
        <v>0</v>
      </c>
      <c r="O62" s="233"/>
      <c r="P62" s="29"/>
      <c r="Q62" s="30">
        <f>P62/(F62+1E-106)*100-100</f>
        <v>-100</v>
      </c>
      <c r="R62" s="29"/>
      <c r="S62" s="30">
        <f t="shared" si="7"/>
        <v>-100</v>
      </c>
      <c r="T62" s="30">
        <f>R62/(F62+1E-106)*100-100</f>
        <v>-100</v>
      </c>
      <c r="U62" s="30">
        <f aca="true" t="shared" si="15" ref="U62:U95">R62-J62</f>
        <v>0</v>
      </c>
      <c r="V62" s="16"/>
      <c r="W62" s="351" t="s">
        <v>205</v>
      </c>
      <c r="Y62" s="21"/>
      <c r="Z62" s="22"/>
    </row>
    <row r="63" spans="1:26" ht="12" customHeight="1" hidden="1">
      <c r="A63" s="12"/>
      <c r="B63" s="28" t="s">
        <v>37</v>
      </c>
      <c r="C63" s="44"/>
      <c r="D63" s="152"/>
      <c r="E63" s="244"/>
      <c r="F63" s="152"/>
      <c r="G63" s="244"/>
      <c r="H63" s="152"/>
      <c r="I63" s="245" t="s">
        <v>67</v>
      </c>
      <c r="J63" s="244"/>
      <c r="K63" s="238">
        <f t="shared" si="6"/>
        <v>-100</v>
      </c>
      <c r="L63" s="152"/>
      <c r="M63" s="238">
        <f t="shared" si="13"/>
        <v>-100</v>
      </c>
      <c r="N63" s="238">
        <f t="shared" si="14"/>
        <v>0</v>
      </c>
      <c r="O63" s="233"/>
      <c r="P63" s="29"/>
      <c r="Q63" s="30"/>
      <c r="R63" s="29"/>
      <c r="S63" s="30">
        <f t="shared" si="7"/>
        <v>-100</v>
      </c>
      <c r="T63" s="30">
        <f>R63/(F63+1E-106)*100-100</f>
        <v>-100</v>
      </c>
      <c r="U63" s="30">
        <f t="shared" si="15"/>
        <v>0</v>
      </c>
      <c r="V63" s="16"/>
      <c r="W63" s="352"/>
      <c r="Y63" s="21"/>
      <c r="Z63" s="22"/>
    </row>
    <row r="64" spans="1:26" ht="12" customHeight="1" hidden="1">
      <c r="A64" s="12"/>
      <c r="B64" s="13" t="s">
        <v>38</v>
      </c>
      <c r="C64" s="44" t="s">
        <v>44</v>
      </c>
      <c r="D64" s="235">
        <f>D62/(D63+1E-97)*D15/1000</f>
        <v>0</v>
      </c>
      <c r="E64" s="244"/>
      <c r="F64" s="235">
        <f>F62/(F63+1E-97)*F15/1000</f>
        <v>0</v>
      </c>
      <c r="G64" s="244"/>
      <c r="H64" s="235">
        <f>H62/(H63+1E-97)*H15/1000</f>
        <v>0</v>
      </c>
      <c r="I64" s="251" t="s">
        <v>67</v>
      </c>
      <c r="J64" s="229">
        <f>J62/(J63+1E-97)*J15/1000</f>
        <v>0</v>
      </c>
      <c r="K64" s="238">
        <f t="shared" si="6"/>
        <v>-100</v>
      </c>
      <c r="L64" s="235">
        <f>L62/(L63+1E-97)*L15/1000</f>
        <v>0</v>
      </c>
      <c r="M64" s="238">
        <f t="shared" si="13"/>
        <v>-100</v>
      </c>
      <c r="N64" s="238">
        <f t="shared" si="14"/>
        <v>0</v>
      </c>
      <c r="O64" s="238"/>
      <c r="P64" s="29">
        <f>P62/(P63+1E-97)*P15/1000</f>
        <v>0</v>
      </c>
      <c r="Q64" s="30">
        <f>P64/(F64+1E-106)*100-100</f>
        <v>-100</v>
      </c>
      <c r="R64" s="29">
        <f>R62/(R63+1E-97)*R15/1000</f>
        <v>0</v>
      </c>
      <c r="S64" s="30">
        <f t="shared" si="7"/>
        <v>-100</v>
      </c>
      <c r="T64" s="30">
        <f>R64/(F64+1E-106)*100-100</f>
        <v>-100</v>
      </c>
      <c r="U64" s="30">
        <f t="shared" si="15"/>
        <v>0</v>
      </c>
      <c r="V64" s="16"/>
      <c r="W64" s="352"/>
      <c r="Y64" s="21"/>
      <c r="Z64" s="22"/>
    </row>
    <row r="65" spans="1:26" s="35" customFormat="1" ht="12" customHeight="1" hidden="1">
      <c r="A65" s="3"/>
      <c r="B65" s="4" t="s">
        <v>40</v>
      </c>
      <c r="C65" s="44" t="s">
        <v>45</v>
      </c>
      <c r="D65" s="236"/>
      <c r="E65" s="239">
        <f>E107/(E64+1E-102)*1000</f>
        <v>0</v>
      </c>
      <c r="F65" s="236"/>
      <c r="G65" s="239">
        <f>G107/(G64+1E-102)*1000</f>
        <v>0</v>
      </c>
      <c r="H65" s="236"/>
      <c r="I65" s="251" t="s">
        <v>67</v>
      </c>
      <c r="J65" s="245"/>
      <c r="K65" s="238">
        <f t="shared" si="6"/>
        <v>-100</v>
      </c>
      <c r="L65" s="236"/>
      <c r="M65" s="238">
        <f t="shared" si="13"/>
        <v>-100</v>
      </c>
      <c r="N65" s="242">
        <f t="shared" si="14"/>
        <v>0</v>
      </c>
      <c r="O65" s="241"/>
      <c r="P65" s="25"/>
      <c r="Q65" s="7">
        <f>P65/(F65+1E-106)*100-100</f>
        <v>-100</v>
      </c>
      <c r="R65" s="25"/>
      <c r="S65" s="7">
        <f t="shared" si="7"/>
        <v>-100</v>
      </c>
      <c r="T65" s="7">
        <f>R65/(F65+1E-106)*100-100</f>
        <v>-100</v>
      </c>
      <c r="U65" s="7">
        <f t="shared" si="15"/>
        <v>0</v>
      </c>
      <c r="V65" s="9"/>
      <c r="W65" s="352"/>
      <c r="X65" s="55"/>
      <c r="Z65" s="36"/>
    </row>
    <row r="66" spans="1:26" ht="12" customHeight="1" hidden="1">
      <c r="A66" s="12"/>
      <c r="B66" s="37" t="s">
        <v>42</v>
      </c>
      <c r="C66" s="44" t="s">
        <v>45</v>
      </c>
      <c r="D66" s="152"/>
      <c r="E66" s="244"/>
      <c r="F66" s="152"/>
      <c r="G66" s="244"/>
      <c r="H66" s="152"/>
      <c r="I66" s="245" t="s">
        <v>67</v>
      </c>
      <c r="J66" s="244"/>
      <c r="K66" s="238">
        <f t="shared" si="6"/>
        <v>-100</v>
      </c>
      <c r="L66" s="152"/>
      <c r="M66" s="238">
        <f t="shared" si="13"/>
        <v>-100</v>
      </c>
      <c r="N66" s="238">
        <f t="shared" si="14"/>
        <v>0</v>
      </c>
      <c r="O66" s="233"/>
      <c r="P66" s="29"/>
      <c r="Q66" s="30">
        <f>P66/(F66+1E-106)*100-100</f>
        <v>-100</v>
      </c>
      <c r="R66" s="29"/>
      <c r="S66" s="30">
        <f t="shared" si="7"/>
        <v>-100</v>
      </c>
      <c r="T66" s="30">
        <f>R66/(F66+1E-106)*100-100</f>
        <v>-100</v>
      </c>
      <c r="U66" s="30">
        <f t="shared" si="15"/>
        <v>0</v>
      </c>
      <c r="V66" s="16"/>
      <c r="W66" s="353"/>
      <c r="Y66" s="21"/>
      <c r="Z66" s="22"/>
    </row>
    <row r="67" spans="1:26" ht="12" customHeight="1">
      <c r="A67" s="328">
        <v>8</v>
      </c>
      <c r="B67" s="60" t="s">
        <v>51</v>
      </c>
      <c r="C67" s="179"/>
      <c r="D67" s="232"/>
      <c r="E67" s="232"/>
      <c r="F67" s="232"/>
      <c r="G67" s="232"/>
      <c r="H67" s="232"/>
      <c r="I67" s="232" t="s">
        <v>67</v>
      </c>
      <c r="J67" s="232"/>
      <c r="K67" s="232"/>
      <c r="L67" s="232"/>
      <c r="M67" s="232"/>
      <c r="N67" s="232"/>
      <c r="O67" s="232"/>
      <c r="P67" s="177"/>
      <c r="Q67" s="177"/>
      <c r="R67" s="177"/>
      <c r="S67" s="177"/>
      <c r="T67" s="177"/>
      <c r="U67" s="177">
        <f t="shared" si="15"/>
        <v>0</v>
      </c>
      <c r="V67" s="63"/>
      <c r="W67" s="64"/>
      <c r="Y67" s="21"/>
      <c r="Z67" s="22"/>
    </row>
    <row r="68" spans="1:26" ht="12" customHeight="1">
      <c r="A68" s="3" t="s">
        <v>33</v>
      </c>
      <c r="B68" s="13" t="s">
        <v>52</v>
      </c>
      <c r="C68" s="44"/>
      <c r="D68" s="235">
        <f aca="true" t="shared" si="16" ref="D68:J68">D69*1000/(D8+1E-113)</f>
        <v>22</v>
      </c>
      <c r="E68" s="229">
        <f t="shared" si="16"/>
        <v>0</v>
      </c>
      <c r="F68" s="235">
        <f t="shared" si="16"/>
        <v>22</v>
      </c>
      <c r="G68" s="229">
        <f t="shared" si="16"/>
        <v>0</v>
      </c>
      <c r="H68" s="235">
        <f t="shared" si="16"/>
        <v>22</v>
      </c>
      <c r="I68" s="251" t="s">
        <v>67</v>
      </c>
      <c r="J68" s="229">
        <f t="shared" si="16"/>
        <v>22</v>
      </c>
      <c r="K68" s="238">
        <f t="shared" si="6"/>
        <v>0</v>
      </c>
      <c r="L68" s="235">
        <f>L69*1000/(L8+1E-113)</f>
        <v>22</v>
      </c>
      <c r="M68" s="238">
        <f t="shared" si="13"/>
        <v>0</v>
      </c>
      <c r="N68" s="238">
        <f t="shared" si="14"/>
        <v>0</v>
      </c>
      <c r="O68" s="238"/>
      <c r="P68" s="29" t="e">
        <f>P69*1000/(P8+1E-113)</f>
        <v>#REF!</v>
      </c>
      <c r="Q68" s="30" t="e">
        <f>P68/(F68+1E-106)*100-100</f>
        <v>#REF!</v>
      </c>
      <c r="R68" s="29" t="e">
        <f>R69*1000/(R8+1E-113)</f>
        <v>#REF!</v>
      </c>
      <c r="S68" s="30" t="e">
        <f t="shared" si="7"/>
        <v>#REF!</v>
      </c>
      <c r="T68" s="30" t="e">
        <f aca="true" t="shared" si="17" ref="T68:T94">R68/(F68+1E-106)*100-100</f>
        <v>#REF!</v>
      </c>
      <c r="U68" s="30" t="e">
        <f t="shared" si="15"/>
        <v>#REF!</v>
      </c>
      <c r="V68" s="16"/>
      <c r="W68" s="31"/>
      <c r="Y68" s="21"/>
      <c r="Z68" s="22"/>
    </row>
    <row r="69" spans="1:26" s="35" customFormat="1" ht="12" customHeight="1">
      <c r="A69" s="3" t="s">
        <v>33</v>
      </c>
      <c r="B69" s="4" t="s">
        <v>172</v>
      </c>
      <c r="C69" s="44" t="s">
        <v>53</v>
      </c>
      <c r="D69" s="232">
        <f aca="true" t="shared" si="18" ref="D69:J69">D72+D78+D84+D90</f>
        <v>352</v>
      </c>
      <c r="E69" s="239">
        <f t="shared" si="18"/>
        <v>0</v>
      </c>
      <c r="F69" s="232">
        <f t="shared" si="18"/>
        <v>352</v>
      </c>
      <c r="G69" s="239">
        <f t="shared" si="18"/>
        <v>0</v>
      </c>
      <c r="H69" s="232">
        <f t="shared" si="18"/>
        <v>352</v>
      </c>
      <c r="I69" s="251" t="s">
        <v>67</v>
      </c>
      <c r="J69" s="239">
        <f t="shared" si="18"/>
        <v>299.2</v>
      </c>
      <c r="K69" s="238">
        <f t="shared" si="6"/>
        <v>-15</v>
      </c>
      <c r="L69" s="232">
        <f>L72+L78+L84+L90</f>
        <v>299.2</v>
      </c>
      <c r="M69" s="238">
        <f t="shared" si="13"/>
        <v>-15</v>
      </c>
      <c r="N69" s="242">
        <f t="shared" si="14"/>
        <v>0</v>
      </c>
      <c r="O69" s="242"/>
      <c r="P69" s="25" t="e">
        <f>#REF!+#REF!+#REF!+#REF!</f>
        <v>#REF!</v>
      </c>
      <c r="Q69" s="7" t="e">
        <f>P69/(F69+1E-106)*100-100</f>
        <v>#REF!</v>
      </c>
      <c r="R69" s="25" t="e">
        <f>#REF!+#REF!+#REF!+#REF!</f>
        <v>#REF!</v>
      </c>
      <c r="S69" s="7" t="e">
        <f t="shared" si="7"/>
        <v>#REF!</v>
      </c>
      <c r="T69" s="7" t="e">
        <f t="shared" si="17"/>
        <v>#REF!</v>
      </c>
      <c r="U69" s="7" t="e">
        <f t="shared" si="15"/>
        <v>#REF!</v>
      </c>
      <c r="V69" s="8"/>
      <c r="W69" s="38"/>
      <c r="X69" s="55"/>
      <c r="Z69" s="36"/>
    </row>
    <row r="70" spans="1:26" ht="12" customHeight="1">
      <c r="A70" s="3"/>
      <c r="B70" s="4" t="s">
        <v>59</v>
      </c>
      <c r="C70" s="44"/>
      <c r="D70" s="152"/>
      <c r="E70" s="244"/>
      <c r="F70" s="152"/>
      <c r="G70" s="244"/>
      <c r="H70" s="152"/>
      <c r="I70" s="245" t="s">
        <v>67</v>
      </c>
      <c r="J70" s="244"/>
      <c r="K70" s="238">
        <f t="shared" si="6"/>
        <v>-100</v>
      </c>
      <c r="L70" s="152"/>
      <c r="M70" s="238">
        <f t="shared" si="13"/>
        <v>-100</v>
      </c>
      <c r="N70" s="238"/>
      <c r="O70" s="233"/>
      <c r="P70" s="271"/>
      <c r="Q70" s="272"/>
      <c r="R70" s="271"/>
      <c r="S70" s="272">
        <f aca="true" t="shared" si="19" ref="S70:S105">R70/(P70+1E-106)*100-100</f>
        <v>-100</v>
      </c>
      <c r="T70" s="272">
        <f t="shared" si="17"/>
        <v>-100</v>
      </c>
      <c r="U70" s="266">
        <f t="shared" si="15"/>
        <v>0</v>
      </c>
      <c r="V70" s="272"/>
      <c r="W70" s="31"/>
      <c r="Y70" s="21"/>
      <c r="Z70" s="22"/>
    </row>
    <row r="71" spans="1:26" ht="12" customHeight="1">
      <c r="A71" s="327" t="s">
        <v>33</v>
      </c>
      <c r="B71" s="4" t="s">
        <v>54</v>
      </c>
      <c r="C71" s="44"/>
      <c r="D71" s="235"/>
      <c r="E71" s="229"/>
      <c r="F71" s="235"/>
      <c r="G71" s="229"/>
      <c r="H71" s="235"/>
      <c r="I71" s="239" t="s">
        <v>67</v>
      </c>
      <c r="J71" s="229"/>
      <c r="K71" s="238"/>
      <c r="L71" s="235"/>
      <c r="M71" s="238"/>
      <c r="N71" s="238"/>
      <c r="O71" s="233"/>
      <c r="P71" s="273"/>
      <c r="Q71" s="266"/>
      <c r="R71" s="273"/>
      <c r="S71" s="272">
        <f t="shared" si="19"/>
        <v>-100</v>
      </c>
      <c r="T71" s="272">
        <f t="shared" si="17"/>
        <v>-100</v>
      </c>
      <c r="U71" s="266">
        <f t="shared" si="15"/>
        <v>0</v>
      </c>
      <c r="V71" s="266"/>
      <c r="W71" s="43"/>
      <c r="Y71" s="21"/>
      <c r="Z71" s="22"/>
    </row>
    <row r="72" spans="1:26" ht="12" customHeight="1">
      <c r="A72" s="12"/>
      <c r="B72" s="13" t="s">
        <v>60</v>
      </c>
      <c r="C72" s="44" t="s">
        <v>53</v>
      </c>
      <c r="D72" s="152">
        <v>352</v>
      </c>
      <c r="E72" s="244"/>
      <c r="F72" s="152">
        <v>352</v>
      </c>
      <c r="G72" s="244"/>
      <c r="H72" s="152">
        <v>352</v>
      </c>
      <c r="I72" s="245" t="s">
        <v>67</v>
      </c>
      <c r="J72" s="244">
        <f>H68*J8/1000</f>
        <v>299.2</v>
      </c>
      <c r="K72" s="238">
        <f t="shared" si="6"/>
        <v>-15</v>
      </c>
      <c r="L72" s="152">
        <v>299.2</v>
      </c>
      <c r="M72" s="238">
        <f aca="true" t="shared" si="20" ref="M72:M103">L72/(H72+1E-106)*100-100</f>
        <v>-15</v>
      </c>
      <c r="N72" s="238">
        <f>L72-J72</f>
        <v>0</v>
      </c>
      <c r="O72" s="233"/>
      <c r="P72" s="273"/>
      <c r="Q72" s="266">
        <f>P72/(F72+1E-106)*100-100</f>
        <v>-100</v>
      </c>
      <c r="R72" s="273"/>
      <c r="S72" s="272">
        <f t="shared" si="19"/>
        <v>-100</v>
      </c>
      <c r="T72" s="272">
        <f t="shared" si="17"/>
        <v>-100</v>
      </c>
      <c r="U72" s="266">
        <f t="shared" si="15"/>
        <v>-299.2</v>
      </c>
      <c r="V72" s="266"/>
      <c r="W72" s="43"/>
      <c r="Y72" s="21"/>
      <c r="Z72" s="22"/>
    </row>
    <row r="73" spans="1:26" s="35" customFormat="1" ht="12" customHeight="1">
      <c r="A73" s="3"/>
      <c r="B73" s="4" t="s">
        <v>61</v>
      </c>
      <c r="C73" s="44" t="s">
        <v>62</v>
      </c>
      <c r="D73" s="236">
        <v>3.81225</v>
      </c>
      <c r="E73" s="242">
        <f>(E109-E75*12*E76)/(E72+1E-107)</f>
        <v>0</v>
      </c>
      <c r="F73" s="236">
        <v>3.9695</v>
      </c>
      <c r="G73" s="242">
        <f>(G109-G75*12*G76)/(G72+1E-107)</f>
        <v>0</v>
      </c>
      <c r="H73" s="236">
        <v>4.117329</v>
      </c>
      <c r="I73" s="251" t="s">
        <v>67</v>
      </c>
      <c r="J73" s="244">
        <f>H73*1.1</f>
        <v>4.5290619</v>
      </c>
      <c r="K73" s="238">
        <f aca="true" t="shared" si="21" ref="K73:K136">J73/(H73+1E-133)*100-100</f>
        <v>10.000000000000014</v>
      </c>
      <c r="L73" s="236">
        <f>H73*1.1</f>
        <v>4.5290619</v>
      </c>
      <c r="M73" s="238">
        <f t="shared" si="20"/>
        <v>10.000000000000014</v>
      </c>
      <c r="N73" s="242">
        <f>L73-J73</f>
        <v>0</v>
      </c>
      <c r="O73" s="242"/>
      <c r="P73" s="25"/>
      <c r="Q73" s="7">
        <f>P73/(F73+1E-106)*100-100</f>
        <v>-100</v>
      </c>
      <c r="R73" s="25"/>
      <c r="S73" s="8">
        <f t="shared" si="19"/>
        <v>-100</v>
      </c>
      <c r="T73" s="8">
        <f t="shared" si="17"/>
        <v>-100</v>
      </c>
      <c r="U73" s="9">
        <f t="shared" si="15"/>
        <v>-4.5290619</v>
      </c>
      <c r="V73" s="7"/>
      <c r="W73" s="47"/>
      <c r="X73" s="55"/>
      <c r="Z73" s="36"/>
    </row>
    <row r="74" spans="1:26" ht="12" customHeight="1">
      <c r="A74" s="12"/>
      <c r="B74" s="13" t="s">
        <v>63</v>
      </c>
      <c r="C74" s="44" t="s">
        <v>64</v>
      </c>
      <c r="D74" s="152"/>
      <c r="E74" s="244"/>
      <c r="F74" s="152"/>
      <c r="G74" s="244"/>
      <c r="H74" s="152"/>
      <c r="I74" s="245" t="s">
        <v>67</v>
      </c>
      <c r="J74" s="244"/>
      <c r="K74" s="238">
        <f t="shared" si="21"/>
        <v>-100</v>
      </c>
      <c r="L74" s="152"/>
      <c r="M74" s="238">
        <f t="shared" si="20"/>
        <v>-100</v>
      </c>
      <c r="N74" s="238"/>
      <c r="O74" s="233"/>
      <c r="P74" s="273"/>
      <c r="Q74" s="266"/>
      <c r="R74" s="273"/>
      <c r="S74" s="272">
        <f t="shared" si="19"/>
        <v>-100</v>
      </c>
      <c r="T74" s="272">
        <f t="shared" si="17"/>
        <v>-100</v>
      </c>
      <c r="U74" s="266">
        <f t="shared" si="15"/>
        <v>0</v>
      </c>
      <c r="V74" s="266"/>
      <c r="W74" s="43"/>
      <c r="Y74" s="21"/>
      <c r="Z74" s="22"/>
    </row>
    <row r="75" spans="1:26" ht="12" customHeight="1">
      <c r="A75" s="12"/>
      <c r="B75" s="13" t="s">
        <v>65</v>
      </c>
      <c r="C75" s="44" t="s">
        <v>66</v>
      </c>
      <c r="D75" s="152"/>
      <c r="E75" s="244"/>
      <c r="F75" s="152"/>
      <c r="G75" s="244"/>
      <c r="H75" s="152"/>
      <c r="I75" s="245" t="s">
        <v>67</v>
      </c>
      <c r="J75" s="244"/>
      <c r="K75" s="238">
        <f t="shared" si="21"/>
        <v>-100</v>
      </c>
      <c r="L75" s="152"/>
      <c r="M75" s="238">
        <f t="shared" si="20"/>
        <v>-100</v>
      </c>
      <c r="N75" s="238">
        <f aca="true" t="shared" si="22" ref="N75:N98">L75-J75</f>
        <v>0</v>
      </c>
      <c r="O75" s="233"/>
      <c r="P75" s="273"/>
      <c r="Q75" s="266">
        <f>P75/(F75+1E-106)*100-100</f>
        <v>-100</v>
      </c>
      <c r="R75" s="273"/>
      <c r="S75" s="272">
        <f t="shared" si="19"/>
        <v>-100</v>
      </c>
      <c r="T75" s="272">
        <f t="shared" si="17"/>
        <v>-100</v>
      </c>
      <c r="U75" s="266">
        <f t="shared" si="15"/>
        <v>0</v>
      </c>
      <c r="V75" s="266"/>
      <c r="W75" s="43"/>
      <c r="Y75" s="21"/>
      <c r="Z75" s="22"/>
    </row>
    <row r="76" spans="1:26" ht="12" customHeight="1">
      <c r="A76" s="12"/>
      <c r="B76" s="13" t="s">
        <v>68</v>
      </c>
      <c r="C76" s="44" t="s">
        <v>69</v>
      </c>
      <c r="D76" s="152"/>
      <c r="E76" s="244"/>
      <c r="F76" s="152"/>
      <c r="G76" s="244"/>
      <c r="H76" s="152"/>
      <c r="I76" s="245" t="s">
        <v>67</v>
      </c>
      <c r="J76" s="244"/>
      <c r="K76" s="238">
        <f t="shared" si="21"/>
        <v>-100</v>
      </c>
      <c r="L76" s="152"/>
      <c r="M76" s="238">
        <f t="shared" si="20"/>
        <v>-100</v>
      </c>
      <c r="N76" s="238">
        <f t="shared" si="22"/>
        <v>0</v>
      </c>
      <c r="O76" s="233"/>
      <c r="P76" s="273"/>
      <c r="Q76" s="266">
        <f>P76/(F76+1E-106)*100-100</f>
        <v>-100</v>
      </c>
      <c r="R76" s="273"/>
      <c r="S76" s="272">
        <f t="shared" si="19"/>
        <v>-100</v>
      </c>
      <c r="T76" s="272">
        <f t="shared" si="17"/>
        <v>-100</v>
      </c>
      <c r="U76" s="266">
        <f t="shared" si="15"/>
        <v>0</v>
      </c>
      <c r="V76" s="266"/>
      <c r="W76" s="43"/>
      <c r="Y76" s="21"/>
      <c r="Z76" s="22"/>
    </row>
    <row r="77" spans="1:26" ht="12" customHeight="1" hidden="1">
      <c r="A77" s="327" t="s">
        <v>33</v>
      </c>
      <c r="B77" s="4" t="s">
        <v>56</v>
      </c>
      <c r="C77" s="44"/>
      <c r="D77" s="235"/>
      <c r="E77" s="229"/>
      <c r="F77" s="235"/>
      <c r="G77" s="229"/>
      <c r="H77" s="235"/>
      <c r="I77" s="239" t="s">
        <v>67</v>
      </c>
      <c r="J77" s="229"/>
      <c r="K77" s="238"/>
      <c r="L77" s="235"/>
      <c r="M77" s="238"/>
      <c r="N77" s="238"/>
      <c r="O77" s="238"/>
      <c r="P77" s="273"/>
      <c r="Q77" s="266"/>
      <c r="R77" s="273"/>
      <c r="S77" s="272">
        <f t="shared" si="19"/>
        <v>-100</v>
      </c>
      <c r="T77" s="272">
        <f t="shared" si="17"/>
        <v>-100</v>
      </c>
      <c r="U77" s="266">
        <f t="shared" si="15"/>
        <v>0</v>
      </c>
      <c r="V77" s="266"/>
      <c r="W77" s="43"/>
      <c r="Y77" s="21"/>
      <c r="Z77" s="22"/>
    </row>
    <row r="78" spans="1:26" ht="12" customHeight="1" hidden="1">
      <c r="A78" s="12"/>
      <c r="B78" s="13" t="s">
        <v>60</v>
      </c>
      <c r="C78" s="44" t="s">
        <v>53</v>
      </c>
      <c r="D78" s="152"/>
      <c r="E78" s="244"/>
      <c r="F78" s="152"/>
      <c r="G78" s="244"/>
      <c r="H78" s="152"/>
      <c r="I78" s="245" t="s">
        <v>67</v>
      </c>
      <c r="J78" s="244"/>
      <c r="K78" s="238">
        <f t="shared" si="21"/>
        <v>-100</v>
      </c>
      <c r="L78" s="152"/>
      <c r="M78" s="238">
        <f t="shared" si="20"/>
        <v>-100</v>
      </c>
      <c r="N78" s="238">
        <f t="shared" si="22"/>
        <v>0</v>
      </c>
      <c r="O78" s="233"/>
      <c r="P78" s="273"/>
      <c r="Q78" s="266">
        <f>P78/(F78+1E-106)*100-100</f>
        <v>-100</v>
      </c>
      <c r="R78" s="273"/>
      <c r="S78" s="272">
        <f t="shared" si="19"/>
        <v>-100</v>
      </c>
      <c r="T78" s="272">
        <f t="shared" si="17"/>
        <v>-100</v>
      </c>
      <c r="U78" s="266">
        <f t="shared" si="15"/>
        <v>0</v>
      </c>
      <c r="V78" s="266"/>
      <c r="W78" s="43"/>
      <c r="Y78" s="21"/>
      <c r="Z78" s="22"/>
    </row>
    <row r="79" spans="1:26" s="35" customFormat="1" ht="12" customHeight="1" hidden="1">
      <c r="A79" s="3"/>
      <c r="B79" s="4" t="s">
        <v>61</v>
      </c>
      <c r="C79" s="44" t="s">
        <v>62</v>
      </c>
      <c r="D79" s="236"/>
      <c r="E79" s="242">
        <f>(E110-E81*12*E82)/(E78+1E-107)</f>
        <v>0</v>
      </c>
      <c r="F79" s="236"/>
      <c r="G79" s="242">
        <f>(G110-G81*12*G82)/(G78+1E-107)</f>
        <v>0</v>
      </c>
      <c r="H79" s="236"/>
      <c r="I79" s="251" t="s">
        <v>67</v>
      </c>
      <c r="J79" s="244"/>
      <c r="K79" s="238">
        <f t="shared" si="21"/>
        <v>-100</v>
      </c>
      <c r="L79" s="236"/>
      <c r="M79" s="238">
        <f t="shared" si="20"/>
        <v>-100</v>
      </c>
      <c r="N79" s="242">
        <f t="shared" si="22"/>
        <v>0</v>
      </c>
      <c r="O79" s="242"/>
      <c r="P79" s="25"/>
      <c r="Q79" s="7">
        <f>P79/(F79+1E-106)*100-100</f>
        <v>-100</v>
      </c>
      <c r="R79" s="25"/>
      <c r="S79" s="8">
        <f t="shared" si="19"/>
        <v>-100</v>
      </c>
      <c r="T79" s="8">
        <f t="shared" si="17"/>
        <v>-100</v>
      </c>
      <c r="U79" s="9">
        <f t="shared" si="15"/>
        <v>0</v>
      </c>
      <c r="V79" s="9"/>
      <c r="W79" s="47"/>
      <c r="X79" s="55"/>
      <c r="Z79" s="36"/>
    </row>
    <row r="80" spans="1:26" ht="12" customHeight="1" hidden="1">
      <c r="A80" s="12"/>
      <c r="B80" s="13" t="s">
        <v>63</v>
      </c>
      <c r="C80" s="44" t="s">
        <v>64</v>
      </c>
      <c r="D80" s="152"/>
      <c r="E80" s="244"/>
      <c r="F80" s="152"/>
      <c r="G80" s="244"/>
      <c r="H80" s="152"/>
      <c r="I80" s="245" t="s">
        <v>67</v>
      </c>
      <c r="J80" s="244"/>
      <c r="K80" s="238">
        <f t="shared" si="21"/>
        <v>-100</v>
      </c>
      <c r="L80" s="152"/>
      <c r="M80" s="238">
        <f t="shared" si="20"/>
        <v>-100</v>
      </c>
      <c r="N80" s="238">
        <f t="shared" si="22"/>
        <v>0</v>
      </c>
      <c r="O80" s="233"/>
      <c r="P80" s="273"/>
      <c r="Q80" s="266"/>
      <c r="R80" s="273"/>
      <c r="S80" s="272">
        <f t="shared" si="19"/>
        <v>-100</v>
      </c>
      <c r="T80" s="272">
        <f t="shared" si="17"/>
        <v>-100</v>
      </c>
      <c r="U80" s="266">
        <f t="shared" si="15"/>
        <v>0</v>
      </c>
      <c r="V80" s="266"/>
      <c r="W80" s="43"/>
      <c r="Y80" s="21"/>
      <c r="Z80" s="22"/>
    </row>
    <row r="81" spans="1:26" ht="12" customHeight="1" hidden="1">
      <c r="A81" s="12"/>
      <c r="B81" s="13" t="s">
        <v>65</v>
      </c>
      <c r="C81" s="44" t="s">
        <v>66</v>
      </c>
      <c r="D81" s="152"/>
      <c r="E81" s="244"/>
      <c r="F81" s="152"/>
      <c r="G81" s="244"/>
      <c r="H81" s="152"/>
      <c r="I81" s="245" t="s">
        <v>67</v>
      </c>
      <c r="J81" s="244"/>
      <c r="K81" s="238">
        <f t="shared" si="21"/>
        <v>-100</v>
      </c>
      <c r="L81" s="152"/>
      <c r="M81" s="238">
        <f t="shared" si="20"/>
        <v>-100</v>
      </c>
      <c r="N81" s="238">
        <f t="shared" si="22"/>
        <v>0</v>
      </c>
      <c r="O81" s="233"/>
      <c r="P81" s="273"/>
      <c r="Q81" s="266">
        <f>P81/(F81+1E-106)*100-100</f>
        <v>-100</v>
      </c>
      <c r="R81" s="273"/>
      <c r="S81" s="272">
        <f t="shared" si="19"/>
        <v>-100</v>
      </c>
      <c r="T81" s="272">
        <f t="shared" si="17"/>
        <v>-100</v>
      </c>
      <c r="U81" s="266">
        <f t="shared" si="15"/>
        <v>0</v>
      </c>
      <c r="V81" s="266"/>
      <c r="W81" s="43"/>
      <c r="Y81" s="21"/>
      <c r="Z81" s="22"/>
    </row>
    <row r="82" spans="1:26" ht="12" customHeight="1" hidden="1">
      <c r="A82" s="12"/>
      <c r="B82" s="13" t="s">
        <v>68</v>
      </c>
      <c r="C82" s="44" t="s">
        <v>69</v>
      </c>
      <c r="D82" s="152"/>
      <c r="E82" s="244"/>
      <c r="F82" s="152"/>
      <c r="G82" s="244"/>
      <c r="H82" s="152"/>
      <c r="I82" s="245" t="s">
        <v>67</v>
      </c>
      <c r="J82" s="244"/>
      <c r="K82" s="238">
        <f t="shared" si="21"/>
        <v>-100</v>
      </c>
      <c r="L82" s="152"/>
      <c r="M82" s="238">
        <f t="shared" si="20"/>
        <v>-100</v>
      </c>
      <c r="N82" s="238">
        <f t="shared" si="22"/>
        <v>0</v>
      </c>
      <c r="O82" s="233"/>
      <c r="P82" s="273"/>
      <c r="Q82" s="266">
        <f>P82/(F82+1E-106)*100-100</f>
        <v>-100</v>
      </c>
      <c r="R82" s="273"/>
      <c r="S82" s="272">
        <f t="shared" si="19"/>
        <v>-100</v>
      </c>
      <c r="T82" s="272">
        <f t="shared" si="17"/>
        <v>-100</v>
      </c>
      <c r="U82" s="266">
        <f t="shared" si="15"/>
        <v>0</v>
      </c>
      <c r="V82" s="266"/>
      <c r="W82" s="43"/>
      <c r="Y82" s="21"/>
      <c r="Z82" s="22"/>
    </row>
    <row r="83" spans="1:26" ht="12" customHeight="1" hidden="1">
      <c r="A83" s="12" t="s">
        <v>33</v>
      </c>
      <c r="B83" s="4" t="s">
        <v>57</v>
      </c>
      <c r="C83" s="44"/>
      <c r="D83" s="235"/>
      <c r="E83" s="229"/>
      <c r="F83" s="235"/>
      <c r="G83" s="229"/>
      <c r="H83" s="235"/>
      <c r="I83" s="239" t="s">
        <v>67</v>
      </c>
      <c r="J83" s="229"/>
      <c r="K83" s="238"/>
      <c r="L83" s="235"/>
      <c r="M83" s="238"/>
      <c r="N83" s="238"/>
      <c r="O83" s="233"/>
      <c r="P83" s="273"/>
      <c r="Q83" s="266"/>
      <c r="R83" s="273"/>
      <c r="S83" s="272">
        <f t="shared" si="19"/>
        <v>-100</v>
      </c>
      <c r="T83" s="272">
        <f t="shared" si="17"/>
        <v>-100</v>
      </c>
      <c r="U83" s="266">
        <f t="shared" si="15"/>
        <v>0</v>
      </c>
      <c r="V83" s="266"/>
      <c r="W83" s="43"/>
      <c r="Y83" s="21"/>
      <c r="Z83" s="22"/>
    </row>
    <row r="84" spans="1:26" ht="12" customHeight="1" hidden="1">
      <c r="A84" s="12"/>
      <c r="B84" s="13" t="s">
        <v>60</v>
      </c>
      <c r="C84" s="44" t="s">
        <v>53</v>
      </c>
      <c r="D84" s="152"/>
      <c r="E84" s="233"/>
      <c r="F84" s="152"/>
      <c r="G84" s="244"/>
      <c r="H84" s="152"/>
      <c r="I84" s="245" t="s">
        <v>67</v>
      </c>
      <c r="J84" s="244"/>
      <c r="K84" s="238">
        <f t="shared" si="21"/>
        <v>-100</v>
      </c>
      <c r="L84" s="152"/>
      <c r="M84" s="238">
        <f t="shared" si="20"/>
        <v>-100</v>
      </c>
      <c r="N84" s="238">
        <f t="shared" si="22"/>
        <v>0</v>
      </c>
      <c r="O84" s="233"/>
      <c r="P84" s="273"/>
      <c r="Q84" s="266">
        <f>P84/(F84+1E-106)*100-100</f>
        <v>-100</v>
      </c>
      <c r="R84" s="273"/>
      <c r="S84" s="272">
        <f t="shared" si="19"/>
        <v>-100</v>
      </c>
      <c r="T84" s="272">
        <f t="shared" si="17"/>
        <v>-100</v>
      </c>
      <c r="U84" s="266">
        <f t="shared" si="15"/>
        <v>0</v>
      </c>
      <c r="V84" s="266"/>
      <c r="W84" s="43"/>
      <c r="Y84" s="21"/>
      <c r="Z84" s="22"/>
    </row>
    <row r="85" spans="1:26" s="35" customFormat="1" ht="12" customHeight="1" hidden="1">
      <c r="A85" s="3"/>
      <c r="B85" s="4" t="s">
        <v>61</v>
      </c>
      <c r="C85" s="44" t="s">
        <v>62</v>
      </c>
      <c r="D85" s="236"/>
      <c r="E85" s="242">
        <f>(E111-E87*12*E88)/(E84+1E-107)</f>
        <v>0</v>
      </c>
      <c r="F85" s="236"/>
      <c r="G85" s="242">
        <f>(G111-G87*12*G88)/(G84+1E-107)</f>
        <v>0</v>
      </c>
      <c r="H85" s="236"/>
      <c r="I85" s="251" t="s">
        <v>67</v>
      </c>
      <c r="J85" s="244"/>
      <c r="K85" s="238">
        <f t="shared" si="21"/>
        <v>-100</v>
      </c>
      <c r="L85" s="236"/>
      <c r="M85" s="238">
        <f t="shared" si="20"/>
        <v>-100</v>
      </c>
      <c r="N85" s="242">
        <f t="shared" si="22"/>
        <v>0</v>
      </c>
      <c r="O85" s="242"/>
      <c r="P85" s="25"/>
      <c r="Q85" s="7">
        <f>P85/(F85+1E-106)*100-100</f>
        <v>-100</v>
      </c>
      <c r="R85" s="25"/>
      <c r="S85" s="8">
        <f t="shared" si="19"/>
        <v>-100</v>
      </c>
      <c r="T85" s="8">
        <f t="shared" si="17"/>
        <v>-100</v>
      </c>
      <c r="U85" s="9">
        <f t="shared" si="15"/>
        <v>0</v>
      </c>
      <c r="V85" s="7"/>
      <c r="W85" s="47"/>
      <c r="X85" s="55"/>
      <c r="Z85" s="36"/>
    </row>
    <row r="86" spans="1:26" ht="12" customHeight="1" hidden="1">
      <c r="A86" s="12"/>
      <c r="B86" s="13" t="s">
        <v>63</v>
      </c>
      <c r="C86" s="44" t="s">
        <v>64</v>
      </c>
      <c r="D86" s="152"/>
      <c r="E86" s="244"/>
      <c r="F86" s="152"/>
      <c r="G86" s="244"/>
      <c r="H86" s="152"/>
      <c r="I86" s="245" t="s">
        <v>67</v>
      </c>
      <c r="J86" s="244"/>
      <c r="K86" s="238">
        <f t="shared" si="21"/>
        <v>-100</v>
      </c>
      <c r="L86" s="152"/>
      <c r="M86" s="238">
        <f t="shared" si="20"/>
        <v>-100</v>
      </c>
      <c r="N86" s="238">
        <f t="shared" si="22"/>
        <v>0</v>
      </c>
      <c r="O86" s="233"/>
      <c r="P86" s="273"/>
      <c r="Q86" s="266"/>
      <c r="R86" s="273"/>
      <c r="S86" s="272">
        <f t="shared" si="19"/>
        <v>-100</v>
      </c>
      <c r="T86" s="272">
        <f t="shared" si="17"/>
        <v>-100</v>
      </c>
      <c r="U86" s="266">
        <f t="shared" si="15"/>
        <v>0</v>
      </c>
      <c r="V86" s="266"/>
      <c r="W86" s="43"/>
      <c r="Y86" s="21"/>
      <c r="Z86" s="22"/>
    </row>
    <row r="87" spans="1:26" ht="12" customHeight="1" hidden="1">
      <c r="A87" s="12"/>
      <c r="B87" s="13" t="s">
        <v>65</v>
      </c>
      <c r="C87" s="44" t="s">
        <v>66</v>
      </c>
      <c r="D87" s="152"/>
      <c r="E87" s="244"/>
      <c r="F87" s="152"/>
      <c r="G87" s="244"/>
      <c r="H87" s="152"/>
      <c r="I87" s="245" t="s">
        <v>67</v>
      </c>
      <c r="J87" s="244"/>
      <c r="K87" s="238">
        <f t="shared" si="21"/>
        <v>-100</v>
      </c>
      <c r="L87" s="152"/>
      <c r="M87" s="238">
        <f t="shared" si="20"/>
        <v>-100</v>
      </c>
      <c r="N87" s="238">
        <f t="shared" si="22"/>
        <v>0</v>
      </c>
      <c r="O87" s="233"/>
      <c r="P87" s="273"/>
      <c r="Q87" s="266">
        <f>P87/(F87+1E-106)*100-100</f>
        <v>-100</v>
      </c>
      <c r="R87" s="273"/>
      <c r="S87" s="272">
        <f t="shared" si="19"/>
        <v>-100</v>
      </c>
      <c r="T87" s="272">
        <f t="shared" si="17"/>
        <v>-100</v>
      </c>
      <c r="U87" s="266">
        <f t="shared" si="15"/>
        <v>0</v>
      </c>
      <c r="V87" s="266"/>
      <c r="W87" s="43"/>
      <c r="Y87" s="21"/>
      <c r="Z87" s="22"/>
    </row>
    <row r="88" spans="1:26" ht="12" customHeight="1" hidden="1">
      <c r="A88" s="12"/>
      <c r="B88" s="13" t="s">
        <v>68</v>
      </c>
      <c r="C88" s="44" t="s">
        <v>69</v>
      </c>
      <c r="D88" s="152"/>
      <c r="E88" s="244"/>
      <c r="F88" s="152"/>
      <c r="G88" s="244"/>
      <c r="H88" s="152"/>
      <c r="I88" s="245" t="s">
        <v>67</v>
      </c>
      <c r="J88" s="244"/>
      <c r="K88" s="238">
        <f t="shared" si="21"/>
        <v>-100</v>
      </c>
      <c r="L88" s="152"/>
      <c r="M88" s="238">
        <f t="shared" si="20"/>
        <v>-100</v>
      </c>
      <c r="N88" s="238">
        <f t="shared" si="22"/>
        <v>0</v>
      </c>
      <c r="O88" s="233"/>
      <c r="P88" s="273"/>
      <c r="Q88" s="266">
        <f>P88/(F88+1E-106)*100-100</f>
        <v>-100</v>
      </c>
      <c r="R88" s="273"/>
      <c r="S88" s="272">
        <f t="shared" si="19"/>
        <v>-100</v>
      </c>
      <c r="T88" s="272">
        <f t="shared" si="17"/>
        <v>-100</v>
      </c>
      <c r="U88" s="266">
        <f t="shared" si="15"/>
        <v>0</v>
      </c>
      <c r="V88" s="266"/>
      <c r="W88" s="43"/>
      <c r="Y88" s="21"/>
      <c r="Z88" s="22"/>
    </row>
    <row r="89" spans="1:26" ht="12" customHeight="1" hidden="1">
      <c r="A89" s="327" t="s">
        <v>33</v>
      </c>
      <c r="B89" s="4" t="s">
        <v>58</v>
      </c>
      <c r="C89" s="44"/>
      <c r="D89" s="235"/>
      <c r="E89" s="229"/>
      <c r="F89" s="235"/>
      <c r="G89" s="229"/>
      <c r="H89" s="235"/>
      <c r="I89" s="239" t="s">
        <v>67</v>
      </c>
      <c r="J89" s="229"/>
      <c r="K89" s="238"/>
      <c r="L89" s="235"/>
      <c r="M89" s="238"/>
      <c r="N89" s="238"/>
      <c r="O89" s="233"/>
      <c r="P89" s="273"/>
      <c r="Q89" s="266"/>
      <c r="R89" s="273"/>
      <c r="S89" s="272">
        <f t="shared" si="19"/>
        <v>-100</v>
      </c>
      <c r="T89" s="272">
        <f t="shared" si="17"/>
        <v>-100</v>
      </c>
      <c r="U89" s="266">
        <f t="shared" si="15"/>
        <v>0</v>
      </c>
      <c r="V89" s="266"/>
      <c r="W89" s="43"/>
      <c r="Y89" s="21"/>
      <c r="Z89" s="22"/>
    </row>
    <row r="90" spans="1:26" ht="12" customHeight="1" hidden="1">
      <c r="A90" s="12"/>
      <c r="B90" s="13" t="s">
        <v>60</v>
      </c>
      <c r="C90" s="44" t="s">
        <v>53</v>
      </c>
      <c r="D90" s="152"/>
      <c r="E90" s="244"/>
      <c r="F90" s="152"/>
      <c r="G90" s="244"/>
      <c r="H90" s="152"/>
      <c r="I90" s="245" t="s">
        <v>67</v>
      </c>
      <c r="J90" s="244"/>
      <c r="K90" s="238">
        <f t="shared" si="21"/>
        <v>-100</v>
      </c>
      <c r="L90" s="152"/>
      <c r="M90" s="238">
        <f t="shared" si="20"/>
        <v>-100</v>
      </c>
      <c r="N90" s="238">
        <f t="shared" si="22"/>
        <v>0</v>
      </c>
      <c r="O90" s="233"/>
      <c r="P90" s="273"/>
      <c r="Q90" s="266">
        <f>P90/(F90+1E-106)*100-100</f>
        <v>-100</v>
      </c>
      <c r="R90" s="273"/>
      <c r="S90" s="272">
        <f t="shared" si="19"/>
        <v>-100</v>
      </c>
      <c r="T90" s="272">
        <f t="shared" si="17"/>
        <v>-100</v>
      </c>
      <c r="U90" s="266">
        <f t="shared" si="15"/>
        <v>0</v>
      </c>
      <c r="V90" s="266"/>
      <c r="W90" s="43"/>
      <c r="Y90" s="21"/>
      <c r="Z90" s="22"/>
    </row>
    <row r="91" spans="1:26" s="35" customFormat="1" ht="12" customHeight="1" hidden="1">
      <c r="A91" s="3"/>
      <c r="B91" s="4" t="s">
        <v>61</v>
      </c>
      <c r="C91" s="44" t="s">
        <v>62</v>
      </c>
      <c r="D91" s="236"/>
      <c r="E91" s="242">
        <f>(E112-E93*12*E94)/(E90+1E-107)</f>
        <v>0</v>
      </c>
      <c r="F91" s="236"/>
      <c r="G91" s="242">
        <f>(G112-G93*12*G94)/(G90+1E-107)</f>
        <v>0</v>
      </c>
      <c r="H91" s="236"/>
      <c r="I91" s="251" t="s">
        <v>67</v>
      </c>
      <c r="J91" s="244"/>
      <c r="K91" s="238">
        <f t="shared" si="21"/>
        <v>-100</v>
      </c>
      <c r="L91" s="236"/>
      <c r="M91" s="238">
        <f t="shared" si="20"/>
        <v>-100</v>
      </c>
      <c r="N91" s="242">
        <f t="shared" si="22"/>
        <v>0</v>
      </c>
      <c r="O91" s="242"/>
      <c r="P91" s="25"/>
      <c r="Q91" s="7">
        <f>P91/(F91+1E-106)*100-100</f>
        <v>-100</v>
      </c>
      <c r="R91" s="25"/>
      <c r="S91" s="8">
        <f t="shared" si="19"/>
        <v>-100</v>
      </c>
      <c r="T91" s="8">
        <f t="shared" si="17"/>
        <v>-100</v>
      </c>
      <c r="U91" s="9">
        <f t="shared" si="15"/>
        <v>0</v>
      </c>
      <c r="V91" s="9"/>
      <c r="W91" s="47"/>
      <c r="X91" s="55"/>
      <c r="Z91" s="36"/>
    </row>
    <row r="92" spans="1:26" ht="12" customHeight="1" hidden="1">
      <c r="A92" s="12"/>
      <c r="B92" s="13" t="s">
        <v>63</v>
      </c>
      <c r="C92" s="44" t="s">
        <v>64</v>
      </c>
      <c r="D92" s="152"/>
      <c r="E92" s="244"/>
      <c r="F92" s="152"/>
      <c r="G92" s="244"/>
      <c r="H92" s="152"/>
      <c r="I92" s="245" t="s">
        <v>67</v>
      </c>
      <c r="J92" s="244"/>
      <c r="K92" s="238">
        <f t="shared" si="21"/>
        <v>-100</v>
      </c>
      <c r="L92" s="152"/>
      <c r="M92" s="238">
        <f t="shared" si="20"/>
        <v>-100</v>
      </c>
      <c r="N92" s="238">
        <f t="shared" si="22"/>
        <v>0</v>
      </c>
      <c r="O92" s="233"/>
      <c r="P92" s="273"/>
      <c r="Q92" s="266"/>
      <c r="R92" s="273"/>
      <c r="S92" s="272">
        <f t="shared" si="19"/>
        <v>-100</v>
      </c>
      <c r="T92" s="272">
        <f t="shared" si="17"/>
        <v>-100</v>
      </c>
      <c r="U92" s="266">
        <f t="shared" si="15"/>
        <v>0</v>
      </c>
      <c r="V92" s="266"/>
      <c r="W92" s="43"/>
      <c r="Y92" s="21"/>
      <c r="Z92" s="22"/>
    </row>
    <row r="93" spans="1:26" ht="12" customHeight="1" hidden="1">
      <c r="A93" s="12"/>
      <c r="B93" s="13" t="s">
        <v>65</v>
      </c>
      <c r="C93" s="44" t="s">
        <v>66</v>
      </c>
      <c r="D93" s="152"/>
      <c r="E93" s="244"/>
      <c r="F93" s="152"/>
      <c r="G93" s="244"/>
      <c r="H93" s="152"/>
      <c r="I93" s="245" t="s">
        <v>67</v>
      </c>
      <c r="J93" s="244"/>
      <c r="K93" s="238">
        <f t="shared" si="21"/>
        <v>-100</v>
      </c>
      <c r="L93" s="152"/>
      <c r="M93" s="238">
        <f t="shared" si="20"/>
        <v>-100</v>
      </c>
      <c r="N93" s="238">
        <f t="shared" si="22"/>
        <v>0</v>
      </c>
      <c r="O93" s="233"/>
      <c r="P93" s="273"/>
      <c r="Q93" s="266">
        <f>P93/(F93+1E-106)*100-100</f>
        <v>-100</v>
      </c>
      <c r="R93" s="273"/>
      <c r="S93" s="272">
        <f t="shared" si="19"/>
        <v>-100</v>
      </c>
      <c r="T93" s="272">
        <f t="shared" si="17"/>
        <v>-100</v>
      </c>
      <c r="U93" s="266">
        <f t="shared" si="15"/>
        <v>0</v>
      </c>
      <c r="V93" s="266"/>
      <c r="W93" s="43"/>
      <c r="Y93" s="21"/>
      <c r="Z93" s="22"/>
    </row>
    <row r="94" spans="1:26" ht="12" customHeight="1" hidden="1">
      <c r="A94" s="12"/>
      <c r="B94" s="13" t="s">
        <v>68</v>
      </c>
      <c r="C94" s="44" t="s">
        <v>69</v>
      </c>
      <c r="D94" s="152"/>
      <c r="E94" s="244"/>
      <c r="F94" s="152"/>
      <c r="G94" s="244"/>
      <c r="H94" s="152"/>
      <c r="I94" s="245" t="s">
        <v>67</v>
      </c>
      <c r="J94" s="244"/>
      <c r="K94" s="238">
        <f t="shared" si="21"/>
        <v>-100</v>
      </c>
      <c r="L94" s="152"/>
      <c r="M94" s="238">
        <f t="shared" si="20"/>
        <v>-100</v>
      </c>
      <c r="N94" s="238">
        <f t="shared" si="22"/>
        <v>0</v>
      </c>
      <c r="O94" s="233"/>
      <c r="P94" s="273"/>
      <c r="Q94" s="266">
        <f>P94/(F94+1E-106)*100-100</f>
        <v>-100</v>
      </c>
      <c r="R94" s="273"/>
      <c r="S94" s="272">
        <f t="shared" si="19"/>
        <v>-100</v>
      </c>
      <c r="T94" s="272">
        <f t="shared" si="17"/>
        <v>-100</v>
      </c>
      <c r="U94" s="266">
        <f t="shared" si="15"/>
        <v>0</v>
      </c>
      <c r="V94" s="266"/>
      <c r="W94" s="43"/>
      <c r="Y94" s="21"/>
      <c r="Z94" s="22"/>
    </row>
    <row r="95" spans="1:26" ht="12" customHeight="1">
      <c r="A95" s="59">
        <v>9</v>
      </c>
      <c r="B95" s="60" t="s">
        <v>70</v>
      </c>
      <c r="C95" s="176"/>
      <c r="D95" s="235"/>
      <c r="E95" s="235"/>
      <c r="F95" s="235"/>
      <c r="G95" s="235"/>
      <c r="H95" s="235"/>
      <c r="I95" s="232" t="s">
        <v>67</v>
      </c>
      <c r="J95" s="235"/>
      <c r="K95" s="235"/>
      <c r="L95" s="235"/>
      <c r="M95" s="235"/>
      <c r="N95" s="235"/>
      <c r="O95" s="152"/>
      <c r="P95" s="274"/>
      <c r="Q95" s="275"/>
      <c r="R95" s="274"/>
      <c r="S95" s="276"/>
      <c r="T95" s="276"/>
      <c r="U95" s="277">
        <f t="shared" si="15"/>
        <v>0</v>
      </c>
      <c r="V95" s="275"/>
      <c r="W95" s="154"/>
      <c r="Y95" s="21"/>
      <c r="Z95" s="22"/>
    </row>
    <row r="96" spans="1:26" ht="12" customHeight="1">
      <c r="A96" s="12"/>
      <c r="B96" s="13" t="s">
        <v>71</v>
      </c>
      <c r="C96" s="44" t="s">
        <v>72</v>
      </c>
      <c r="D96" s="152">
        <v>0.7</v>
      </c>
      <c r="E96" s="229">
        <f>E97*1000/(E8+1E-104)</f>
        <v>1.1100000000000001E+108</v>
      </c>
      <c r="F96" s="152">
        <v>0.7</v>
      </c>
      <c r="G96" s="229">
        <f>G97*1000/(G8+1E-104)</f>
        <v>0</v>
      </c>
      <c r="H96" s="152">
        <v>0.7</v>
      </c>
      <c r="I96" s="251" t="s">
        <v>67</v>
      </c>
      <c r="J96" s="244">
        <v>0.7</v>
      </c>
      <c r="K96" s="238">
        <f t="shared" si="21"/>
        <v>0</v>
      </c>
      <c r="L96" s="152">
        <v>0.7</v>
      </c>
      <c r="M96" s="238">
        <f t="shared" si="20"/>
        <v>0</v>
      </c>
      <c r="N96" s="238">
        <f t="shared" si="22"/>
        <v>0</v>
      </c>
      <c r="O96" s="238"/>
      <c r="P96" s="42">
        <f>F96</f>
        <v>0.7</v>
      </c>
      <c r="Q96" s="16">
        <f>P96/(F96+1E-106)*100-100</f>
        <v>0</v>
      </c>
      <c r="R96" s="42">
        <f>P96</f>
        <v>0.7</v>
      </c>
      <c r="S96" s="17">
        <f t="shared" si="19"/>
        <v>0</v>
      </c>
      <c r="T96" s="17">
        <f>R96/(F96+1E-106)*100-100</f>
        <v>0</v>
      </c>
      <c r="U96" s="16">
        <f>R96-J96</f>
        <v>0</v>
      </c>
      <c r="V96" s="16"/>
      <c r="W96" s="43"/>
      <c r="Y96" s="21"/>
      <c r="Z96" s="22"/>
    </row>
    <row r="97" spans="1:23" ht="12" customHeight="1">
      <c r="A97" s="12"/>
      <c r="B97" s="13" t="s">
        <v>73</v>
      </c>
      <c r="C97" s="44" t="s">
        <v>74</v>
      </c>
      <c r="D97" s="235">
        <f>D96*D8/1000</f>
        <v>11.2</v>
      </c>
      <c r="E97" s="244">
        <v>11.1</v>
      </c>
      <c r="F97" s="235">
        <f>F96*F8/1000</f>
        <v>11.2</v>
      </c>
      <c r="G97" s="244">
        <v>0</v>
      </c>
      <c r="H97" s="235">
        <f>H96*H8/1000</f>
        <v>11.2</v>
      </c>
      <c r="I97" s="251" t="s">
        <v>67</v>
      </c>
      <c r="J97" s="229">
        <f>J96*J8/1000</f>
        <v>9.52</v>
      </c>
      <c r="K97" s="238">
        <f t="shared" si="21"/>
        <v>-15</v>
      </c>
      <c r="L97" s="235">
        <f>L96*L8/1000</f>
        <v>9.52</v>
      </c>
      <c r="M97" s="238">
        <f t="shared" si="20"/>
        <v>-15</v>
      </c>
      <c r="N97" s="238">
        <f t="shared" si="22"/>
        <v>0</v>
      </c>
      <c r="O97" s="238"/>
      <c r="P97" s="42">
        <f>P96*P8/1000</f>
        <v>11.2</v>
      </c>
      <c r="Q97" s="16">
        <f>P97/(F97+1E-106)*100-100</f>
        <v>0</v>
      </c>
      <c r="R97" s="42">
        <f>R96*R8/1000</f>
        <v>11.2</v>
      </c>
      <c r="S97" s="17">
        <f t="shared" si="19"/>
        <v>0</v>
      </c>
      <c r="T97" s="17">
        <f>R97/(F97+1E-106)*100-100</f>
        <v>0</v>
      </c>
      <c r="U97" s="16">
        <f>R97-J97</f>
        <v>1.6799999999999997</v>
      </c>
      <c r="V97" s="16"/>
      <c r="W97" s="41"/>
    </row>
    <row r="98" spans="1:24" s="35" customFormat="1" ht="12" customHeight="1">
      <c r="A98" s="3"/>
      <c r="B98" s="4" t="s">
        <v>75</v>
      </c>
      <c r="C98" s="44" t="s">
        <v>76</v>
      </c>
      <c r="D98" s="236">
        <v>10.718</v>
      </c>
      <c r="E98" s="239">
        <f>E113/(E97+1E-108)</f>
        <v>0</v>
      </c>
      <c r="F98" s="236">
        <v>10.718</v>
      </c>
      <c r="G98" s="239">
        <f>G113/(G97+1E-108)</f>
        <v>0</v>
      </c>
      <c r="H98" s="236">
        <v>12.048</v>
      </c>
      <c r="I98" s="251" t="s">
        <v>67</v>
      </c>
      <c r="J98" s="245">
        <f>H98*1.11</f>
        <v>13.373280000000001</v>
      </c>
      <c r="K98" s="238">
        <f t="shared" si="21"/>
        <v>11.000000000000014</v>
      </c>
      <c r="L98" s="240">
        <f>H98*1.11</f>
        <v>13.373280000000001</v>
      </c>
      <c r="M98" s="238">
        <f t="shared" si="20"/>
        <v>11.000000000000014</v>
      </c>
      <c r="N98" s="242">
        <f t="shared" si="22"/>
        <v>0</v>
      </c>
      <c r="O98" s="242"/>
      <c r="P98" s="25">
        <f>F98</f>
        <v>10.718</v>
      </c>
      <c r="Q98" s="9">
        <f>P98/(F98+1E-106)*100-100</f>
        <v>0</v>
      </c>
      <c r="R98" s="25">
        <f>P98</f>
        <v>10.718</v>
      </c>
      <c r="S98" s="8">
        <f t="shared" si="19"/>
        <v>0</v>
      </c>
      <c r="T98" s="8">
        <f>R98/(F98+1E-106)*100-100</f>
        <v>0</v>
      </c>
      <c r="U98" s="9">
        <f>R98-J98</f>
        <v>-2.655280000000001</v>
      </c>
      <c r="V98" s="9"/>
      <c r="W98" s="34"/>
      <c r="X98" s="55"/>
    </row>
    <row r="99" spans="1:23" ht="16.5" customHeight="1">
      <c r="A99" s="180"/>
      <c r="B99" s="181" t="s">
        <v>77</v>
      </c>
      <c r="C99" s="182"/>
      <c r="D99" s="246"/>
      <c r="E99" s="246"/>
      <c r="F99" s="246"/>
      <c r="G99" s="246"/>
      <c r="H99" s="246"/>
      <c r="I99" s="243"/>
      <c r="J99" s="246"/>
      <c r="K99" s="197"/>
      <c r="L99" s="246"/>
      <c r="M99" s="197"/>
      <c r="N99" s="197"/>
      <c r="O99" s="246"/>
      <c r="P99" s="278"/>
      <c r="Q99" s="279"/>
      <c r="R99" s="278"/>
      <c r="S99" s="280"/>
      <c r="T99" s="280"/>
      <c r="U99" s="281"/>
      <c r="V99" s="279"/>
      <c r="W99" s="187"/>
    </row>
    <row r="100" spans="1:23" ht="12" customHeight="1">
      <c r="A100" s="188">
        <v>10</v>
      </c>
      <c r="B100" s="181" t="s">
        <v>78</v>
      </c>
      <c r="C100" s="182" t="s">
        <v>79</v>
      </c>
      <c r="D100" s="196">
        <f>SUMIF(D101:D107,"&gt;0")</f>
        <v>7137.096596634189</v>
      </c>
      <c r="E100" s="196">
        <f>SUMIF(E101:E107,"&gt;0")</f>
        <v>0</v>
      </c>
      <c r="F100" s="330">
        <f>SUMIF(F101:F107,"&gt;0")</f>
        <v>7771.325602919399</v>
      </c>
      <c r="G100" s="196">
        <f>SUMIF(G101:G107,"&gt;0")</f>
        <v>0</v>
      </c>
      <c r="H100" s="330">
        <f>SUMIF(H101:H107,"&gt;0")</f>
        <v>8030.06790292294</v>
      </c>
      <c r="I100" s="282" t="s">
        <v>67</v>
      </c>
      <c r="J100" s="196">
        <f>J101+J102+J103+J104+J105+J106+J107</f>
        <v>7940.316532474335</v>
      </c>
      <c r="K100" s="197">
        <f t="shared" si="21"/>
        <v>-1.1176913014139842</v>
      </c>
      <c r="L100" s="196">
        <f>SUMIF(L101:L107,"&gt;0")</f>
        <v>7940.324343929204</v>
      </c>
      <c r="M100" s="197">
        <f t="shared" si="20"/>
        <v>-1.1175940238446742</v>
      </c>
      <c r="N100" s="196">
        <f aca="true" t="shared" si="23" ref="N100:N122">L100-J100</f>
        <v>0.007811454868715373</v>
      </c>
      <c r="O100" s="196">
        <f>L100/($L$160+1E-103)*100</f>
        <v>61.96224634513668</v>
      </c>
      <c r="P100" s="186">
        <f>SUMIF(P101:P107,"&gt;0")</f>
        <v>0</v>
      </c>
      <c r="Q100" s="186">
        <f aca="true" t="shared" si="24" ref="Q100:Q122">P100/(F100+1E-106)*100-100</f>
        <v>-100</v>
      </c>
      <c r="R100" s="186">
        <f>SUMIF(R101:R107,"&gt;0")</f>
        <v>0</v>
      </c>
      <c r="S100" s="185">
        <f t="shared" si="19"/>
        <v>-100</v>
      </c>
      <c r="T100" s="185">
        <f aca="true" t="shared" si="25" ref="T100:T131">R100/(F100+1E-106)*100-100</f>
        <v>-100</v>
      </c>
      <c r="U100" s="186">
        <f aca="true" t="shared" si="26" ref="U100:U122">R100-J100</f>
        <v>-7940.316532474335</v>
      </c>
      <c r="V100" s="189" t="e">
        <f aca="true" t="shared" si="27" ref="V100:V122">R100/($R$160+1E-103)*100</f>
        <v>#REF!</v>
      </c>
      <c r="W100" s="248"/>
    </row>
    <row r="101" spans="1:23" ht="12" customHeight="1">
      <c r="A101" s="12" t="s">
        <v>33</v>
      </c>
      <c r="B101" s="13" t="s">
        <v>80</v>
      </c>
      <c r="C101" s="44" t="s">
        <v>79</v>
      </c>
      <c r="D101" s="235">
        <f>D28*D29/1000</f>
        <v>7137.096596634189</v>
      </c>
      <c r="E101" s="244"/>
      <c r="F101" s="331">
        <f>F28*F29/1000</f>
        <v>7771.325602919399</v>
      </c>
      <c r="G101" s="244">
        <v>0</v>
      </c>
      <c r="H101" s="331">
        <f>H28*H29/1000</f>
        <v>8030.06790292294</v>
      </c>
      <c r="I101" s="245" t="s">
        <v>67</v>
      </c>
      <c r="J101" s="229">
        <f>J28*J29/1000</f>
        <v>7940.316532474335</v>
      </c>
      <c r="K101" s="238">
        <f t="shared" si="21"/>
        <v>-1.1176913014139842</v>
      </c>
      <c r="L101" s="235">
        <f>L28*L29/1000</f>
        <v>7940.324343929204</v>
      </c>
      <c r="M101" s="238">
        <f t="shared" si="20"/>
        <v>-1.1175940238446742</v>
      </c>
      <c r="N101" s="238">
        <f t="shared" si="23"/>
        <v>0.007811454868715373</v>
      </c>
      <c r="O101" s="238"/>
      <c r="P101" s="265">
        <f>P28*P29/1000</f>
        <v>0</v>
      </c>
      <c r="Q101" s="266">
        <f t="shared" si="24"/>
        <v>-100</v>
      </c>
      <c r="R101" s="265">
        <f>R28*R29/1000</f>
        <v>0</v>
      </c>
      <c r="S101" s="272">
        <f t="shared" si="19"/>
        <v>-100</v>
      </c>
      <c r="T101" s="272">
        <f t="shared" si="25"/>
        <v>-100</v>
      </c>
      <c r="U101" s="266">
        <f t="shared" si="26"/>
        <v>-7940.316532474335</v>
      </c>
      <c r="V101" s="283" t="e">
        <f t="shared" si="27"/>
        <v>#REF!</v>
      </c>
      <c r="W101" s="26"/>
    </row>
    <row r="102" spans="1:23" ht="12" customHeight="1" hidden="1">
      <c r="A102" s="12" t="s">
        <v>33</v>
      </c>
      <c r="B102" s="13" t="s">
        <v>81</v>
      </c>
      <c r="C102" s="44" t="s">
        <v>79</v>
      </c>
      <c r="D102" s="235">
        <f>D34*D35/1000</f>
        <v>0</v>
      </c>
      <c r="E102" s="244"/>
      <c r="F102" s="235">
        <f>F34*F35/1000</f>
        <v>0</v>
      </c>
      <c r="G102" s="244"/>
      <c r="H102" s="235">
        <f>H34*H35/1000</f>
        <v>0</v>
      </c>
      <c r="I102" s="245" t="s">
        <v>67</v>
      </c>
      <c r="J102" s="229">
        <f>J34*J35/1000</f>
        <v>0</v>
      </c>
      <c r="K102" s="238">
        <f t="shared" si="21"/>
        <v>-100</v>
      </c>
      <c r="L102" s="235">
        <f>L34*L35/1000</f>
        <v>0</v>
      </c>
      <c r="M102" s="238">
        <f t="shared" si="20"/>
        <v>-100</v>
      </c>
      <c r="N102" s="238">
        <f t="shared" si="23"/>
        <v>0</v>
      </c>
      <c r="O102" s="238"/>
      <c r="P102" s="265">
        <f>P34*P35/1000</f>
        <v>0</v>
      </c>
      <c r="Q102" s="266">
        <f t="shared" si="24"/>
        <v>-100</v>
      </c>
      <c r="R102" s="265">
        <f>R34*R35/1000</f>
        <v>0</v>
      </c>
      <c r="S102" s="267">
        <f t="shared" si="19"/>
        <v>-100</v>
      </c>
      <c r="T102" s="267">
        <f t="shared" si="25"/>
        <v>-100</v>
      </c>
      <c r="U102" s="266">
        <f t="shared" si="26"/>
        <v>0</v>
      </c>
      <c r="V102" s="283" t="e">
        <f t="shared" si="27"/>
        <v>#REF!</v>
      </c>
      <c r="W102" s="26"/>
    </row>
    <row r="103" spans="1:23" ht="12" customHeight="1" hidden="1">
      <c r="A103" s="12" t="s">
        <v>33</v>
      </c>
      <c r="B103" s="13" t="s">
        <v>82</v>
      </c>
      <c r="C103" s="44" t="s">
        <v>79</v>
      </c>
      <c r="D103" s="235">
        <f>D40*D41/1000</f>
        <v>0</v>
      </c>
      <c r="E103" s="244"/>
      <c r="F103" s="235">
        <f>F40*F41/1000</f>
        <v>0</v>
      </c>
      <c r="G103" s="244"/>
      <c r="H103" s="235">
        <f>H40*H41/1000</f>
        <v>0</v>
      </c>
      <c r="I103" s="245" t="s">
        <v>67</v>
      </c>
      <c r="J103" s="229">
        <f>J40*J41/1000</f>
        <v>0</v>
      </c>
      <c r="K103" s="238">
        <f t="shared" si="21"/>
        <v>-100</v>
      </c>
      <c r="L103" s="235">
        <f>L40*L41/1000</f>
        <v>0</v>
      </c>
      <c r="M103" s="238">
        <f t="shared" si="20"/>
        <v>-100</v>
      </c>
      <c r="N103" s="238">
        <f t="shared" si="23"/>
        <v>0</v>
      </c>
      <c r="O103" s="238"/>
      <c r="P103" s="265">
        <f>P40*P41/1000</f>
        <v>0</v>
      </c>
      <c r="Q103" s="266">
        <f t="shared" si="24"/>
        <v>-100</v>
      </c>
      <c r="R103" s="265">
        <f>R40*R41/1000</f>
        <v>0</v>
      </c>
      <c r="S103" s="267">
        <f t="shared" si="19"/>
        <v>-100</v>
      </c>
      <c r="T103" s="267">
        <f t="shared" si="25"/>
        <v>-100</v>
      </c>
      <c r="U103" s="266">
        <f t="shared" si="26"/>
        <v>0</v>
      </c>
      <c r="V103" s="283" t="e">
        <f t="shared" si="27"/>
        <v>#REF!</v>
      </c>
      <c r="W103" s="26"/>
    </row>
    <row r="104" spans="1:23" ht="12" customHeight="1" hidden="1">
      <c r="A104" s="12" t="s">
        <v>33</v>
      </c>
      <c r="B104" s="13" t="s">
        <v>83</v>
      </c>
      <c r="C104" s="44" t="s">
        <v>79</v>
      </c>
      <c r="D104" s="235">
        <f>D46*D47/1000</f>
        <v>0</v>
      </c>
      <c r="E104" s="244"/>
      <c r="F104" s="235">
        <f>F46*F47/1000</f>
        <v>0</v>
      </c>
      <c r="G104" s="244"/>
      <c r="H104" s="235">
        <f>H46*H47/1000</f>
        <v>0</v>
      </c>
      <c r="I104" s="245" t="s">
        <v>67</v>
      </c>
      <c r="J104" s="229">
        <f>J46*J47/1000</f>
        <v>0</v>
      </c>
      <c r="K104" s="238">
        <f t="shared" si="21"/>
        <v>-100</v>
      </c>
      <c r="L104" s="235">
        <f>L46*L47/1000</f>
        <v>0</v>
      </c>
      <c r="M104" s="238">
        <f aca="true" t="shared" si="28" ref="M104:M135">L104/(H104+1E-106)*100-100</f>
        <v>-100</v>
      </c>
      <c r="N104" s="238">
        <f t="shared" si="23"/>
        <v>0</v>
      </c>
      <c r="O104" s="238"/>
      <c r="P104" s="265">
        <f>P46*P47/1000</f>
        <v>0</v>
      </c>
      <c r="Q104" s="266">
        <f t="shared" si="24"/>
        <v>-100</v>
      </c>
      <c r="R104" s="265">
        <f>R46*R47/1000</f>
        <v>0</v>
      </c>
      <c r="S104" s="267">
        <f t="shared" si="19"/>
        <v>-100</v>
      </c>
      <c r="T104" s="267">
        <f t="shared" si="25"/>
        <v>-100</v>
      </c>
      <c r="U104" s="266">
        <f t="shared" si="26"/>
        <v>0</v>
      </c>
      <c r="V104" s="283" t="e">
        <f t="shared" si="27"/>
        <v>#REF!</v>
      </c>
      <c r="W104" s="26"/>
    </row>
    <row r="105" spans="1:23" ht="12" customHeight="1" hidden="1">
      <c r="A105" s="12" t="s">
        <v>33</v>
      </c>
      <c r="B105" s="13" t="s">
        <v>84</v>
      </c>
      <c r="C105" s="44" t="s">
        <v>79</v>
      </c>
      <c r="D105" s="235">
        <f>D52*D53/1000</f>
        <v>0</v>
      </c>
      <c r="E105" s="244"/>
      <c r="F105" s="235">
        <f>F52*F53/1000</f>
        <v>0</v>
      </c>
      <c r="G105" s="244"/>
      <c r="H105" s="235">
        <f>H52*H53/1000</f>
        <v>0</v>
      </c>
      <c r="I105" s="245" t="s">
        <v>67</v>
      </c>
      <c r="J105" s="229">
        <f>J52*J53/1000</f>
        <v>0</v>
      </c>
      <c r="K105" s="238">
        <f t="shared" si="21"/>
        <v>-100</v>
      </c>
      <c r="L105" s="235">
        <f>L52*L53/1000</f>
        <v>0</v>
      </c>
      <c r="M105" s="238">
        <f t="shared" si="28"/>
        <v>-100</v>
      </c>
      <c r="N105" s="238">
        <f t="shared" si="23"/>
        <v>0</v>
      </c>
      <c r="O105" s="238"/>
      <c r="P105" s="265">
        <f>P52*P53/1000</f>
        <v>0</v>
      </c>
      <c r="Q105" s="266">
        <f t="shared" si="24"/>
        <v>-100</v>
      </c>
      <c r="R105" s="265">
        <f>R52*R53/1000</f>
        <v>0</v>
      </c>
      <c r="S105" s="267">
        <f t="shared" si="19"/>
        <v>-100</v>
      </c>
      <c r="T105" s="267">
        <f t="shared" si="25"/>
        <v>-100</v>
      </c>
      <c r="U105" s="266">
        <f t="shared" si="26"/>
        <v>0</v>
      </c>
      <c r="V105" s="283" t="e">
        <f t="shared" si="27"/>
        <v>#REF!</v>
      </c>
      <c r="W105" s="26"/>
    </row>
    <row r="106" spans="1:23" ht="12" customHeight="1" hidden="1">
      <c r="A106" s="12" t="s">
        <v>33</v>
      </c>
      <c r="B106" s="13" t="s">
        <v>85</v>
      </c>
      <c r="C106" s="44" t="s">
        <v>79</v>
      </c>
      <c r="D106" s="235">
        <f>D58*D59/1000</f>
        <v>0</v>
      </c>
      <c r="E106" s="244"/>
      <c r="F106" s="235">
        <f>F58*F59/1000</f>
        <v>0</v>
      </c>
      <c r="G106" s="244"/>
      <c r="H106" s="235">
        <f>H58*H59/1000</f>
        <v>0</v>
      </c>
      <c r="I106" s="245" t="s">
        <v>67</v>
      </c>
      <c r="J106" s="229">
        <f>J58*J59/1000</f>
        <v>0</v>
      </c>
      <c r="K106" s="238">
        <f t="shared" si="21"/>
        <v>-100</v>
      </c>
      <c r="L106" s="235">
        <f>L58*L59/1000</f>
        <v>0</v>
      </c>
      <c r="M106" s="238">
        <f t="shared" si="28"/>
        <v>-100</v>
      </c>
      <c r="N106" s="238">
        <f t="shared" si="23"/>
        <v>0</v>
      </c>
      <c r="O106" s="238"/>
      <c r="P106" s="265">
        <f>P58*P59/1000</f>
        <v>0</v>
      </c>
      <c r="Q106" s="266">
        <f t="shared" si="24"/>
        <v>-100</v>
      </c>
      <c r="R106" s="265">
        <f>R58*R59/1000</f>
        <v>0</v>
      </c>
      <c r="S106" s="267">
        <f aca="true" t="shared" si="29" ref="S106:S161">R106/(P106+1E-106)*100-100</f>
        <v>-100</v>
      </c>
      <c r="T106" s="267">
        <f t="shared" si="25"/>
        <v>-100</v>
      </c>
      <c r="U106" s="266">
        <f t="shared" si="26"/>
        <v>0</v>
      </c>
      <c r="V106" s="283" t="e">
        <f t="shared" si="27"/>
        <v>#REF!</v>
      </c>
      <c r="W106" s="26"/>
    </row>
    <row r="107" spans="1:23" ht="12" customHeight="1" hidden="1">
      <c r="A107" s="12" t="s">
        <v>33</v>
      </c>
      <c r="B107" s="13" t="s">
        <v>86</v>
      </c>
      <c r="C107" s="44" t="s">
        <v>79</v>
      </c>
      <c r="D107" s="235">
        <f>D64*D65/1000</f>
        <v>0</v>
      </c>
      <c r="E107" s="244"/>
      <c r="F107" s="235">
        <f>F64*F65/1000</f>
        <v>0</v>
      </c>
      <c r="G107" s="244"/>
      <c r="H107" s="235">
        <f>H64*H65/1000</f>
        <v>0</v>
      </c>
      <c r="I107" s="245" t="s">
        <v>67</v>
      </c>
      <c r="J107" s="229">
        <f>J64*J65/1000</f>
        <v>0</v>
      </c>
      <c r="K107" s="238">
        <f t="shared" si="21"/>
        <v>-100</v>
      </c>
      <c r="L107" s="235">
        <f>L64*L65/1000</f>
        <v>0</v>
      </c>
      <c r="M107" s="238">
        <f t="shared" si="28"/>
        <v>-100</v>
      </c>
      <c r="N107" s="238">
        <f t="shared" si="23"/>
        <v>0</v>
      </c>
      <c r="O107" s="238"/>
      <c r="P107" s="265">
        <f>P64*P65/1000</f>
        <v>0</v>
      </c>
      <c r="Q107" s="266">
        <f t="shared" si="24"/>
        <v>-100</v>
      </c>
      <c r="R107" s="265">
        <f>R64*R65/1000</f>
        <v>0</v>
      </c>
      <c r="S107" s="267">
        <f t="shared" si="29"/>
        <v>-100</v>
      </c>
      <c r="T107" s="267">
        <f t="shared" si="25"/>
        <v>-100</v>
      </c>
      <c r="U107" s="266">
        <f t="shared" si="26"/>
        <v>0</v>
      </c>
      <c r="V107" s="283" t="e">
        <f t="shared" si="27"/>
        <v>#REF!</v>
      </c>
      <c r="W107" s="26"/>
    </row>
    <row r="108" spans="1:24" s="35" customFormat="1" ht="12" customHeight="1">
      <c r="A108" s="188">
        <v>11</v>
      </c>
      <c r="B108" s="181" t="s">
        <v>51</v>
      </c>
      <c r="C108" s="182" t="s">
        <v>79</v>
      </c>
      <c r="D108" s="196">
        <f>D109+D110+D111+D112</f>
        <v>1341.912</v>
      </c>
      <c r="E108" s="196">
        <f>E109+E110+E111+E112</f>
        <v>0</v>
      </c>
      <c r="F108" s="330">
        <f>F109+F110+F111+F112</f>
        <v>1397.2640000000001</v>
      </c>
      <c r="G108" s="196">
        <f>G109+G110+G111+G112</f>
        <v>0</v>
      </c>
      <c r="H108" s="196">
        <f>H109+H110+H111+H112</f>
        <v>1449.299808</v>
      </c>
      <c r="I108" s="282" t="s">
        <v>67</v>
      </c>
      <c r="J108" s="196">
        <f>J109+J110+J111+J112</f>
        <v>1355.09532048</v>
      </c>
      <c r="K108" s="197">
        <f t="shared" si="21"/>
        <v>-6.5</v>
      </c>
      <c r="L108" s="196">
        <f>L109+L110+L111+L112</f>
        <v>1355.09532048</v>
      </c>
      <c r="M108" s="197">
        <f t="shared" si="28"/>
        <v>-6.5</v>
      </c>
      <c r="N108" s="196">
        <f t="shared" si="23"/>
        <v>0</v>
      </c>
      <c r="O108" s="196">
        <f>L108/($L$160+1E-103)*100</f>
        <v>10.574473589724223</v>
      </c>
      <c r="P108" s="186" t="e">
        <f>#REF!+#REF!</f>
        <v>#REF!</v>
      </c>
      <c r="Q108" s="186" t="e">
        <f t="shared" si="24"/>
        <v>#REF!</v>
      </c>
      <c r="R108" s="186" t="e">
        <f>#REF!+#REF!</f>
        <v>#REF!</v>
      </c>
      <c r="S108" s="185" t="e">
        <f t="shared" si="29"/>
        <v>#REF!</v>
      </c>
      <c r="T108" s="185" t="e">
        <f t="shared" si="25"/>
        <v>#REF!</v>
      </c>
      <c r="U108" s="186" t="e">
        <f t="shared" si="26"/>
        <v>#REF!</v>
      </c>
      <c r="V108" s="189" t="e">
        <f t="shared" si="27"/>
        <v>#REF!</v>
      </c>
      <c r="W108" s="190"/>
      <c r="X108" s="55"/>
    </row>
    <row r="109" spans="1:25" ht="12" customHeight="1">
      <c r="A109" s="12" t="s">
        <v>33</v>
      </c>
      <c r="B109" s="13" t="s">
        <v>87</v>
      </c>
      <c r="C109" s="44" t="s">
        <v>79</v>
      </c>
      <c r="D109" s="235">
        <f>D72*D73+D75*12*D76</f>
        <v>1341.912</v>
      </c>
      <c r="E109" s="244"/>
      <c r="F109" s="331">
        <f>F72*F73+F75*12*F76</f>
        <v>1397.2640000000001</v>
      </c>
      <c r="G109" s="244">
        <v>0</v>
      </c>
      <c r="H109" s="235">
        <f>H72*H73+H75*12*H76</f>
        <v>1449.299808</v>
      </c>
      <c r="I109" s="245" t="s">
        <v>67</v>
      </c>
      <c r="J109" s="229">
        <f>J72*J73+J75*12*J76</f>
        <v>1355.09532048</v>
      </c>
      <c r="K109" s="238">
        <f t="shared" si="21"/>
        <v>-6.5</v>
      </c>
      <c r="L109" s="235">
        <f>L72*L73+L75*12*L76</f>
        <v>1355.09532048</v>
      </c>
      <c r="M109" s="238">
        <f t="shared" si="28"/>
        <v>-6.5</v>
      </c>
      <c r="N109" s="238">
        <f t="shared" si="23"/>
        <v>0</v>
      </c>
      <c r="O109" s="238"/>
      <c r="P109" s="265"/>
      <c r="Q109" s="266">
        <f t="shared" si="24"/>
        <v>-100</v>
      </c>
      <c r="R109" s="265"/>
      <c r="S109" s="272">
        <f t="shared" si="29"/>
        <v>-100</v>
      </c>
      <c r="T109" s="272">
        <f t="shared" si="25"/>
        <v>-100</v>
      </c>
      <c r="U109" s="266">
        <f t="shared" si="26"/>
        <v>-1355.09532048</v>
      </c>
      <c r="V109" s="283" t="e">
        <f t="shared" si="27"/>
        <v>#REF!</v>
      </c>
      <c r="W109" s="49"/>
      <c r="Y109" s="21"/>
    </row>
    <row r="110" spans="1:25" ht="12" customHeight="1" hidden="1">
      <c r="A110" s="12" t="s">
        <v>33</v>
      </c>
      <c r="B110" s="13" t="s">
        <v>88</v>
      </c>
      <c r="C110" s="44" t="s">
        <v>79</v>
      </c>
      <c r="D110" s="235">
        <f>D78*D79+D81*12*D82</f>
        <v>0</v>
      </c>
      <c r="E110" s="244"/>
      <c r="F110" s="235">
        <f>F78*F79+F81*12*F82</f>
        <v>0</v>
      </c>
      <c r="G110" s="244"/>
      <c r="H110" s="235">
        <f>H78*H79+H81*12*H82</f>
        <v>0</v>
      </c>
      <c r="I110" s="245" t="s">
        <v>67</v>
      </c>
      <c r="J110" s="229">
        <f>J78*J79+J81*12*J82</f>
        <v>0</v>
      </c>
      <c r="K110" s="238">
        <f t="shared" si="21"/>
        <v>-100</v>
      </c>
      <c r="L110" s="235">
        <f>L78*L79+L81*12*L82</f>
        <v>0</v>
      </c>
      <c r="M110" s="238">
        <f t="shared" si="28"/>
        <v>-100</v>
      </c>
      <c r="N110" s="238">
        <f t="shared" si="23"/>
        <v>0</v>
      </c>
      <c r="O110" s="238"/>
      <c r="P110" s="265"/>
      <c r="Q110" s="266">
        <f t="shared" si="24"/>
        <v>-100</v>
      </c>
      <c r="R110" s="265"/>
      <c r="S110" s="267">
        <f t="shared" si="29"/>
        <v>-100</v>
      </c>
      <c r="T110" s="267">
        <f t="shared" si="25"/>
        <v>-100</v>
      </c>
      <c r="U110" s="266">
        <f t="shared" si="26"/>
        <v>0</v>
      </c>
      <c r="V110" s="283" t="e">
        <f t="shared" si="27"/>
        <v>#REF!</v>
      </c>
      <c r="W110" s="49"/>
      <c r="Y110" s="21"/>
    </row>
    <row r="111" spans="1:25" ht="12" customHeight="1" hidden="1">
      <c r="A111" s="12" t="s">
        <v>33</v>
      </c>
      <c r="B111" s="13" t="s">
        <v>89</v>
      </c>
      <c r="C111" s="44" t="s">
        <v>79</v>
      </c>
      <c r="D111" s="235">
        <f>D84*D85+D87*12*D88</f>
        <v>0</v>
      </c>
      <c r="E111" s="244"/>
      <c r="F111" s="235">
        <f>F84*F85+F87*12*F88</f>
        <v>0</v>
      </c>
      <c r="G111" s="244"/>
      <c r="H111" s="235">
        <f>H84*H85+H87*12*H88</f>
        <v>0</v>
      </c>
      <c r="I111" s="245" t="s">
        <v>67</v>
      </c>
      <c r="J111" s="229">
        <f>J84*J85+J87*12*J88</f>
        <v>0</v>
      </c>
      <c r="K111" s="238">
        <f t="shared" si="21"/>
        <v>-100</v>
      </c>
      <c r="L111" s="235">
        <f>L84*L85+L87*12*L88</f>
        <v>0</v>
      </c>
      <c r="M111" s="238">
        <f t="shared" si="28"/>
        <v>-100</v>
      </c>
      <c r="N111" s="238">
        <f t="shared" si="23"/>
        <v>0</v>
      </c>
      <c r="O111" s="238"/>
      <c r="P111" s="265"/>
      <c r="Q111" s="266">
        <f t="shared" si="24"/>
        <v>-100</v>
      </c>
      <c r="R111" s="265"/>
      <c r="S111" s="267">
        <f t="shared" si="29"/>
        <v>-100</v>
      </c>
      <c r="T111" s="267">
        <f t="shared" si="25"/>
        <v>-100</v>
      </c>
      <c r="U111" s="266">
        <f t="shared" si="26"/>
        <v>0</v>
      </c>
      <c r="V111" s="283" t="e">
        <f t="shared" si="27"/>
        <v>#REF!</v>
      </c>
      <c r="W111" s="49"/>
      <c r="Y111" s="21"/>
    </row>
    <row r="112" spans="1:25" ht="12" customHeight="1" hidden="1">
      <c r="A112" s="12" t="s">
        <v>33</v>
      </c>
      <c r="B112" s="13" t="s">
        <v>90</v>
      </c>
      <c r="C112" s="44" t="s">
        <v>79</v>
      </c>
      <c r="D112" s="235">
        <f>D90*D91+D93*12*D94</f>
        <v>0</v>
      </c>
      <c r="E112" s="244"/>
      <c r="F112" s="235">
        <f>F90*F91+F93*12*F94</f>
        <v>0</v>
      </c>
      <c r="G112" s="244"/>
      <c r="H112" s="235">
        <f>H90*H91+H93*12*H94</f>
        <v>0</v>
      </c>
      <c r="I112" s="245" t="s">
        <v>67</v>
      </c>
      <c r="J112" s="229">
        <f>J90*J91+J93*12*J94</f>
        <v>0</v>
      </c>
      <c r="K112" s="238">
        <f t="shared" si="21"/>
        <v>-100</v>
      </c>
      <c r="L112" s="235">
        <f>L90*L91+L93*12*L94</f>
        <v>0</v>
      </c>
      <c r="M112" s="238">
        <f t="shared" si="28"/>
        <v>-100</v>
      </c>
      <c r="N112" s="238">
        <f t="shared" si="23"/>
        <v>0</v>
      </c>
      <c r="O112" s="238"/>
      <c r="P112" s="265"/>
      <c r="Q112" s="266">
        <f t="shared" si="24"/>
        <v>-100</v>
      </c>
      <c r="R112" s="265"/>
      <c r="S112" s="267">
        <f t="shared" si="29"/>
        <v>-100</v>
      </c>
      <c r="T112" s="267">
        <f t="shared" si="25"/>
        <v>-100</v>
      </c>
      <c r="U112" s="266">
        <f t="shared" si="26"/>
        <v>0</v>
      </c>
      <c r="V112" s="283" t="e">
        <f t="shared" si="27"/>
        <v>#REF!</v>
      </c>
      <c r="W112" s="49"/>
      <c r="Y112" s="21"/>
    </row>
    <row r="113" spans="1:24" s="35" customFormat="1" ht="12" customHeight="1">
      <c r="A113" s="188">
        <v>12</v>
      </c>
      <c r="B113" s="181" t="s">
        <v>70</v>
      </c>
      <c r="C113" s="191" t="s">
        <v>79</v>
      </c>
      <c r="D113" s="196">
        <f>D98*D97</f>
        <v>120.04159999999999</v>
      </c>
      <c r="E113" s="243"/>
      <c r="F113" s="330">
        <f>F98*F97</f>
        <v>120.04159999999999</v>
      </c>
      <c r="G113" s="243">
        <v>0</v>
      </c>
      <c r="H113" s="330">
        <f>H98*H97</f>
        <v>134.9376</v>
      </c>
      <c r="I113" s="282" t="s">
        <v>67</v>
      </c>
      <c r="J113" s="196">
        <f>J98*J97</f>
        <v>127.31362560000001</v>
      </c>
      <c r="K113" s="196">
        <f t="shared" si="21"/>
        <v>-5.650000000000006</v>
      </c>
      <c r="L113" s="196">
        <f>L98*L97</f>
        <v>127.31362560000001</v>
      </c>
      <c r="M113" s="196">
        <f t="shared" si="28"/>
        <v>-5.650000000000006</v>
      </c>
      <c r="N113" s="196">
        <f t="shared" si="23"/>
        <v>0</v>
      </c>
      <c r="O113" s="196">
        <f>L113/($L$160+1E-103)*100</f>
        <v>0.9934906800817246</v>
      </c>
      <c r="P113" s="186">
        <f>P98*P97</f>
        <v>120.04159999999999</v>
      </c>
      <c r="Q113" s="186">
        <f t="shared" si="24"/>
        <v>0</v>
      </c>
      <c r="R113" s="186">
        <f>R98*R97</f>
        <v>120.04159999999999</v>
      </c>
      <c r="S113" s="185">
        <f t="shared" si="29"/>
        <v>0</v>
      </c>
      <c r="T113" s="185">
        <f t="shared" si="25"/>
        <v>0</v>
      </c>
      <c r="U113" s="186">
        <f t="shared" si="26"/>
        <v>-7.2720256000000205</v>
      </c>
      <c r="V113" s="189" t="e">
        <f t="shared" si="27"/>
        <v>#REF!</v>
      </c>
      <c r="W113" s="190"/>
      <c r="X113" s="55"/>
    </row>
    <row r="114" spans="1:24" s="35" customFormat="1" ht="12" customHeight="1">
      <c r="A114" s="188">
        <v>13</v>
      </c>
      <c r="B114" s="181" t="s">
        <v>91</v>
      </c>
      <c r="C114" s="191" t="s">
        <v>79</v>
      </c>
      <c r="D114" s="243">
        <v>0</v>
      </c>
      <c r="E114" s="243"/>
      <c r="F114" s="243">
        <v>0</v>
      </c>
      <c r="G114" s="243">
        <v>0</v>
      </c>
      <c r="H114" s="243">
        <v>0</v>
      </c>
      <c r="I114" s="282" t="s">
        <v>67</v>
      </c>
      <c r="J114" s="245">
        <v>33.22</v>
      </c>
      <c r="K114" s="239">
        <f t="shared" si="21"/>
        <v>3.3219999999999997E+136</v>
      </c>
      <c r="L114" s="245">
        <v>33.22</v>
      </c>
      <c r="M114" s="196">
        <f t="shared" si="28"/>
        <v>3.3220000000000003E+109</v>
      </c>
      <c r="N114" s="196">
        <f t="shared" si="23"/>
        <v>0</v>
      </c>
      <c r="O114" s="196">
        <f>L114/($L$160+1E-103)*100</f>
        <v>0.25923195759115114</v>
      </c>
      <c r="P114" s="193">
        <f>F114</f>
        <v>0</v>
      </c>
      <c r="Q114" s="186">
        <f t="shared" si="24"/>
        <v>-100</v>
      </c>
      <c r="R114" s="186">
        <f>P114*1.03</f>
        <v>0</v>
      </c>
      <c r="S114" s="185">
        <f t="shared" si="29"/>
        <v>-100</v>
      </c>
      <c r="T114" s="185">
        <f t="shared" si="25"/>
        <v>-100</v>
      </c>
      <c r="U114" s="186">
        <f t="shared" si="26"/>
        <v>-33.22</v>
      </c>
      <c r="V114" s="189" t="e">
        <f t="shared" si="27"/>
        <v>#REF!</v>
      </c>
      <c r="W114" s="194"/>
      <c r="X114" s="55"/>
    </row>
    <row r="115" spans="1:24" s="35" customFormat="1" ht="12" customHeight="1">
      <c r="A115" s="188">
        <v>14</v>
      </c>
      <c r="B115" s="181" t="s">
        <v>92</v>
      </c>
      <c r="C115" s="191" t="s">
        <v>79</v>
      </c>
      <c r="D115" s="243">
        <v>1163.13</v>
      </c>
      <c r="E115" s="243"/>
      <c r="F115" s="243">
        <v>1163.13</v>
      </c>
      <c r="G115" s="243">
        <v>0</v>
      </c>
      <c r="H115" s="243">
        <v>1397.8</v>
      </c>
      <c r="I115" s="282" t="s">
        <v>67</v>
      </c>
      <c r="J115" s="243">
        <f>H115*1.055</f>
        <v>1474.6789999999999</v>
      </c>
      <c r="K115" s="196">
        <f t="shared" si="21"/>
        <v>5.5</v>
      </c>
      <c r="L115" s="243">
        <f>H115*1.055</f>
        <v>1474.6789999999999</v>
      </c>
      <c r="M115" s="196">
        <f t="shared" si="28"/>
        <v>5.5</v>
      </c>
      <c r="N115" s="196">
        <f t="shared" si="23"/>
        <v>0</v>
      </c>
      <c r="O115" s="196">
        <f>L115/($L$160+1E-103)*100</f>
        <v>11.507643708264933</v>
      </c>
      <c r="P115" s="193">
        <f>F115</f>
        <v>1163.13</v>
      </c>
      <c r="Q115" s="186">
        <f t="shared" si="24"/>
        <v>0</v>
      </c>
      <c r="R115" s="186">
        <f>P115*1.051</f>
        <v>1222.44963</v>
      </c>
      <c r="S115" s="185">
        <f t="shared" si="29"/>
        <v>5.099999999999994</v>
      </c>
      <c r="T115" s="185">
        <f t="shared" si="25"/>
        <v>5.099999999999994</v>
      </c>
      <c r="U115" s="186">
        <f t="shared" si="26"/>
        <v>-252.2293699999998</v>
      </c>
      <c r="V115" s="189" t="e">
        <f t="shared" si="27"/>
        <v>#REF!</v>
      </c>
      <c r="W115" s="194"/>
      <c r="X115" s="55"/>
    </row>
    <row r="116" spans="1:23" ht="12" customHeight="1">
      <c r="A116" s="12"/>
      <c r="B116" s="13" t="s">
        <v>93</v>
      </c>
      <c r="C116" s="142" t="s">
        <v>94</v>
      </c>
      <c r="D116" s="235">
        <f>D115/12/(D117+1E-100)*1000</f>
        <v>6923.392857142858</v>
      </c>
      <c r="E116" s="229">
        <f>E115/12/(E117+1E-100)*1000</f>
        <v>0</v>
      </c>
      <c r="F116" s="235">
        <f>F115/12/(F117+1E-100)*1000</f>
        <v>6923.392857142858</v>
      </c>
      <c r="G116" s="229">
        <f>G115/3/(G117+1E-100)*1000</f>
        <v>0</v>
      </c>
      <c r="H116" s="235">
        <f>H115/12/(H117+1E-100)*1000</f>
        <v>8320.238095238095</v>
      </c>
      <c r="I116" s="251" t="s">
        <v>67</v>
      </c>
      <c r="J116" s="229">
        <f>J115/12/(J117+1E-100)*1000</f>
        <v>8777.851190476189</v>
      </c>
      <c r="K116" s="238">
        <f t="shared" si="21"/>
        <v>5.499999999999972</v>
      </c>
      <c r="L116" s="235">
        <f>L115/12/(L117+1E-100)*1000</f>
        <v>8777.851190476189</v>
      </c>
      <c r="M116" s="238">
        <f t="shared" si="28"/>
        <v>5.499999999999972</v>
      </c>
      <c r="N116" s="238">
        <f t="shared" si="23"/>
        <v>0</v>
      </c>
      <c r="O116" s="238"/>
      <c r="P116" s="265">
        <f>P115/12/(P117+1E-100)*1000</f>
        <v>6923.392857142858</v>
      </c>
      <c r="Q116" s="266">
        <f t="shared" si="24"/>
        <v>0</v>
      </c>
      <c r="R116" s="265">
        <f>R115/12/(R117+1E-100)*1000</f>
        <v>7276.485892857144</v>
      </c>
      <c r="S116" s="272">
        <f t="shared" si="29"/>
        <v>5.100000000000023</v>
      </c>
      <c r="T116" s="272">
        <f t="shared" si="25"/>
        <v>5.100000000000023</v>
      </c>
      <c r="U116" s="266">
        <f t="shared" si="26"/>
        <v>-1501.3652976190451</v>
      </c>
      <c r="V116" s="283" t="e">
        <f t="shared" si="27"/>
        <v>#REF!</v>
      </c>
      <c r="W116" s="51"/>
    </row>
    <row r="117" spans="1:23" ht="12" customHeight="1">
      <c r="A117" s="12"/>
      <c r="B117" s="13" t="s">
        <v>95</v>
      </c>
      <c r="C117" s="142" t="s">
        <v>96</v>
      </c>
      <c r="D117" s="152">
        <v>14</v>
      </c>
      <c r="E117" s="244"/>
      <c r="F117" s="152">
        <v>14</v>
      </c>
      <c r="G117" s="244">
        <v>0</v>
      </c>
      <c r="H117" s="152">
        <v>14</v>
      </c>
      <c r="I117" s="284" t="s">
        <v>67</v>
      </c>
      <c r="J117" s="244">
        <v>14</v>
      </c>
      <c r="K117" s="238">
        <f t="shared" si="21"/>
        <v>0</v>
      </c>
      <c r="L117" s="152">
        <v>14</v>
      </c>
      <c r="M117" s="238">
        <f t="shared" si="28"/>
        <v>0</v>
      </c>
      <c r="N117" s="238">
        <f t="shared" si="23"/>
        <v>0</v>
      </c>
      <c r="O117" s="238"/>
      <c r="P117" s="265">
        <f>F117</f>
        <v>14</v>
      </c>
      <c r="Q117" s="266">
        <f t="shared" si="24"/>
        <v>0</v>
      </c>
      <c r="R117" s="265">
        <f>F117</f>
        <v>14</v>
      </c>
      <c r="S117" s="272">
        <f t="shared" si="29"/>
        <v>0</v>
      </c>
      <c r="T117" s="272">
        <f t="shared" si="25"/>
        <v>0</v>
      </c>
      <c r="U117" s="266">
        <f t="shared" si="26"/>
        <v>0</v>
      </c>
      <c r="V117" s="283" t="e">
        <f t="shared" si="27"/>
        <v>#REF!</v>
      </c>
      <c r="W117" s="51"/>
    </row>
    <row r="118" spans="1:24" s="35" customFormat="1" ht="28.5" customHeight="1">
      <c r="A118" s="188">
        <v>15</v>
      </c>
      <c r="B118" s="181" t="s">
        <v>173</v>
      </c>
      <c r="C118" s="182" t="s">
        <v>79</v>
      </c>
      <c r="D118" s="243">
        <v>409.42</v>
      </c>
      <c r="E118" s="246"/>
      <c r="F118" s="243">
        <v>409.42</v>
      </c>
      <c r="G118" s="246">
        <v>0</v>
      </c>
      <c r="H118" s="243">
        <v>492.01</v>
      </c>
      <c r="I118" s="243" t="s">
        <v>67</v>
      </c>
      <c r="J118" s="246">
        <f>H118*1.055</f>
        <v>519.0705499999999</v>
      </c>
      <c r="K118" s="197">
        <f t="shared" si="21"/>
        <v>5.5</v>
      </c>
      <c r="L118" s="243">
        <f>H118*1.055</f>
        <v>519.0705499999999</v>
      </c>
      <c r="M118" s="197">
        <f t="shared" si="28"/>
        <v>5.5</v>
      </c>
      <c r="N118" s="196">
        <f t="shared" si="23"/>
        <v>0</v>
      </c>
      <c r="O118" s="196">
        <f>L118/($L$160+1E-103)*100</f>
        <v>4.050562155461032</v>
      </c>
      <c r="P118" s="192">
        <f>F118</f>
        <v>409.42</v>
      </c>
      <c r="Q118" s="281">
        <f t="shared" si="24"/>
        <v>0</v>
      </c>
      <c r="R118" s="192">
        <f>R115*0.342</f>
        <v>418.07777346000006</v>
      </c>
      <c r="S118" s="280">
        <f t="shared" si="29"/>
        <v>2.114643510331703</v>
      </c>
      <c r="T118" s="280">
        <f t="shared" si="25"/>
        <v>2.114643510331703</v>
      </c>
      <c r="U118" s="281">
        <f t="shared" si="26"/>
        <v>-100.99277653999985</v>
      </c>
      <c r="V118" s="285" t="e">
        <f t="shared" si="27"/>
        <v>#REF!</v>
      </c>
      <c r="W118" s="194"/>
      <c r="X118" s="55"/>
    </row>
    <row r="119" spans="1:24" s="35" customFormat="1" ht="12" customHeight="1">
      <c r="A119" s="188">
        <v>16</v>
      </c>
      <c r="B119" s="181" t="s">
        <v>97</v>
      </c>
      <c r="C119" s="182" t="s">
        <v>79</v>
      </c>
      <c r="D119" s="243">
        <v>112.4</v>
      </c>
      <c r="E119" s="246"/>
      <c r="F119" s="243">
        <v>112.4</v>
      </c>
      <c r="G119" s="244">
        <v>0</v>
      </c>
      <c r="H119" s="243">
        <v>112.4</v>
      </c>
      <c r="I119" s="243" t="s">
        <v>67</v>
      </c>
      <c r="J119" s="246">
        <v>0</v>
      </c>
      <c r="K119" s="197">
        <f t="shared" si="21"/>
        <v>-100</v>
      </c>
      <c r="L119" s="243">
        <v>0</v>
      </c>
      <c r="M119" s="197">
        <f t="shared" si="28"/>
        <v>-100</v>
      </c>
      <c r="N119" s="196">
        <f t="shared" si="23"/>
        <v>0</v>
      </c>
      <c r="O119" s="196">
        <f>L119/($L$160+1E-103)*100</f>
        <v>0</v>
      </c>
      <c r="P119" s="286">
        <f>F119</f>
        <v>112.4</v>
      </c>
      <c r="Q119" s="281">
        <f t="shared" si="24"/>
        <v>0</v>
      </c>
      <c r="R119" s="286">
        <f>F119</f>
        <v>112.4</v>
      </c>
      <c r="S119" s="280">
        <f t="shared" si="29"/>
        <v>0</v>
      </c>
      <c r="T119" s="280">
        <f t="shared" si="25"/>
        <v>0</v>
      </c>
      <c r="U119" s="281">
        <f t="shared" si="26"/>
        <v>112.4</v>
      </c>
      <c r="V119" s="285" t="e">
        <f t="shared" si="27"/>
        <v>#REF!</v>
      </c>
      <c r="W119" s="194"/>
      <c r="X119" s="55"/>
    </row>
    <row r="120" spans="1:24" s="35" customFormat="1" ht="12" customHeight="1">
      <c r="A120" s="188">
        <v>17</v>
      </c>
      <c r="B120" s="181" t="s">
        <v>98</v>
      </c>
      <c r="C120" s="182" t="s">
        <v>79</v>
      </c>
      <c r="D120" s="196">
        <f>D121+D122+D123</f>
        <v>469.16999999999996</v>
      </c>
      <c r="E120" s="196">
        <f aca="true" t="shared" si="30" ref="E120:L120">E121+E122+E123</f>
        <v>0</v>
      </c>
      <c r="F120" s="196">
        <f t="shared" si="30"/>
        <v>469.16999999999996</v>
      </c>
      <c r="G120" s="196">
        <f t="shared" si="30"/>
        <v>0</v>
      </c>
      <c r="H120" s="196">
        <f t="shared" si="30"/>
        <v>483.25000000000006</v>
      </c>
      <c r="I120" s="282" t="s">
        <v>67</v>
      </c>
      <c r="J120" s="196">
        <f t="shared" si="30"/>
        <v>506.4460000000001</v>
      </c>
      <c r="K120" s="197">
        <f t="shared" si="21"/>
        <v>4.800000000000011</v>
      </c>
      <c r="L120" s="196">
        <f t="shared" si="30"/>
        <v>18.11176</v>
      </c>
      <c r="M120" s="197">
        <f t="shared" si="28"/>
        <v>-96.25209311950336</v>
      </c>
      <c r="N120" s="196">
        <f t="shared" si="23"/>
        <v>-488.3342400000001</v>
      </c>
      <c r="O120" s="196">
        <f>L120/($L$160+1E-103)*100</f>
        <v>0.1413349488326643</v>
      </c>
      <c r="P120" s="198">
        <f>P123+P122+P121</f>
        <v>469.16999999999996</v>
      </c>
      <c r="Q120" s="199">
        <f t="shared" si="24"/>
        <v>0</v>
      </c>
      <c r="R120" s="198">
        <f>R123+R122+R121</f>
        <v>483.2451</v>
      </c>
      <c r="S120" s="185">
        <f t="shared" si="29"/>
        <v>3</v>
      </c>
      <c r="T120" s="185">
        <f t="shared" si="25"/>
        <v>3</v>
      </c>
      <c r="U120" s="186">
        <f t="shared" si="26"/>
        <v>-23.200900000000104</v>
      </c>
      <c r="V120" s="189" t="e">
        <f t="shared" si="27"/>
        <v>#REF!</v>
      </c>
      <c r="W120" s="194"/>
      <c r="X120" s="55"/>
    </row>
    <row r="121" spans="1:23" ht="12" customHeight="1">
      <c r="A121" s="12" t="s">
        <v>33</v>
      </c>
      <c r="B121" s="13" t="s">
        <v>99</v>
      </c>
      <c r="C121" s="44" t="s">
        <v>79</v>
      </c>
      <c r="D121" s="152">
        <v>11.77</v>
      </c>
      <c r="E121" s="244"/>
      <c r="F121" s="152">
        <v>11.77</v>
      </c>
      <c r="G121" s="244">
        <v>0</v>
      </c>
      <c r="H121" s="152">
        <v>12.12</v>
      </c>
      <c r="I121" s="245" t="s">
        <v>67</v>
      </c>
      <c r="J121" s="244">
        <f>H121*1.048</f>
        <v>12.70176</v>
      </c>
      <c r="K121" s="238">
        <f t="shared" si="21"/>
        <v>4.800000000000011</v>
      </c>
      <c r="L121" s="152">
        <f>H121*1.048</f>
        <v>12.70176</v>
      </c>
      <c r="M121" s="238">
        <f t="shared" si="28"/>
        <v>4.800000000000011</v>
      </c>
      <c r="N121" s="238">
        <f t="shared" si="23"/>
        <v>0</v>
      </c>
      <c r="O121" s="238"/>
      <c r="P121" s="287">
        <f>F121</f>
        <v>11.77</v>
      </c>
      <c r="Q121" s="288">
        <f t="shared" si="24"/>
        <v>0</v>
      </c>
      <c r="R121" s="273">
        <f>F121*1.03</f>
        <v>12.123099999999999</v>
      </c>
      <c r="S121" s="272">
        <f t="shared" si="29"/>
        <v>3</v>
      </c>
      <c r="T121" s="272">
        <f t="shared" si="25"/>
        <v>3</v>
      </c>
      <c r="U121" s="266">
        <f t="shared" si="26"/>
        <v>-0.5786600000000011</v>
      </c>
      <c r="V121" s="283" t="e">
        <f t="shared" si="27"/>
        <v>#REF!</v>
      </c>
      <c r="W121" s="31"/>
    </row>
    <row r="122" spans="1:23" ht="12" customHeight="1">
      <c r="A122" s="12" t="s">
        <v>33</v>
      </c>
      <c r="B122" s="13" t="s">
        <v>100</v>
      </c>
      <c r="C122" s="44" t="s">
        <v>79</v>
      </c>
      <c r="D122" s="152">
        <v>452.4</v>
      </c>
      <c r="E122" s="244"/>
      <c r="F122" s="152">
        <v>452.4</v>
      </c>
      <c r="G122" s="244">
        <v>0</v>
      </c>
      <c r="H122" s="152">
        <v>465.97</v>
      </c>
      <c r="I122" s="245" t="s">
        <v>67</v>
      </c>
      <c r="J122" s="244">
        <f>H122*1.048</f>
        <v>488.3365600000001</v>
      </c>
      <c r="K122" s="229">
        <f t="shared" si="21"/>
        <v>4.800000000000011</v>
      </c>
      <c r="L122" s="244">
        <v>0</v>
      </c>
      <c r="M122" s="238">
        <f t="shared" si="28"/>
        <v>-100</v>
      </c>
      <c r="N122" s="238">
        <f t="shared" si="23"/>
        <v>-488.3365600000001</v>
      </c>
      <c r="O122" s="238"/>
      <c r="P122" s="287">
        <f>F122</f>
        <v>452.4</v>
      </c>
      <c r="Q122" s="288">
        <f t="shared" si="24"/>
        <v>0</v>
      </c>
      <c r="R122" s="273">
        <f>F122*1.03</f>
        <v>465.972</v>
      </c>
      <c r="S122" s="272">
        <f t="shared" si="29"/>
        <v>3</v>
      </c>
      <c r="T122" s="272">
        <f t="shared" si="25"/>
        <v>3</v>
      </c>
      <c r="U122" s="266">
        <f t="shared" si="26"/>
        <v>-22.364560000000097</v>
      </c>
      <c r="V122" s="283" t="e">
        <f t="shared" si="27"/>
        <v>#REF!</v>
      </c>
      <c r="W122" s="31"/>
    </row>
    <row r="123" spans="1:23" ht="12" customHeight="1">
      <c r="A123" s="12" t="s">
        <v>33</v>
      </c>
      <c r="B123" s="13" t="s">
        <v>101</v>
      </c>
      <c r="C123" s="44" t="s">
        <v>79</v>
      </c>
      <c r="D123" s="152">
        <v>5</v>
      </c>
      <c r="E123" s="244"/>
      <c r="F123" s="152">
        <v>5</v>
      </c>
      <c r="G123" s="244">
        <v>0</v>
      </c>
      <c r="H123" s="152">
        <v>5.16</v>
      </c>
      <c r="I123" s="245" t="s">
        <v>67</v>
      </c>
      <c r="J123" s="244">
        <f>H123*1.048</f>
        <v>5.40768</v>
      </c>
      <c r="K123" s="229">
        <f t="shared" si="21"/>
        <v>4.800000000000011</v>
      </c>
      <c r="L123" s="244">
        <v>5.41</v>
      </c>
      <c r="M123" s="238">
        <f t="shared" si="28"/>
        <v>4.844961240310084</v>
      </c>
      <c r="N123" s="238"/>
      <c r="O123" s="238"/>
      <c r="P123" s="287">
        <f>F123</f>
        <v>5</v>
      </c>
      <c r="Q123" s="288"/>
      <c r="R123" s="273">
        <f>F123*1.03</f>
        <v>5.15</v>
      </c>
      <c r="S123" s="272">
        <f t="shared" si="29"/>
        <v>3</v>
      </c>
      <c r="T123" s="272">
        <f t="shared" si="25"/>
        <v>3</v>
      </c>
      <c r="U123" s="266"/>
      <c r="V123" s="283"/>
      <c r="W123" s="31"/>
    </row>
    <row r="124" spans="1:24" s="35" customFormat="1" ht="12" customHeight="1">
      <c r="A124" s="188">
        <v>18</v>
      </c>
      <c r="B124" s="181" t="s">
        <v>102</v>
      </c>
      <c r="C124" s="182" t="s">
        <v>79</v>
      </c>
      <c r="D124" s="196">
        <f>D125+D128+D129</f>
        <v>152.43</v>
      </c>
      <c r="E124" s="196">
        <f>E125+E128+E129</f>
        <v>0</v>
      </c>
      <c r="F124" s="196">
        <f>F125+F128+F129</f>
        <v>152.4</v>
      </c>
      <c r="G124" s="196">
        <f>G125+G128+G129</f>
        <v>0</v>
      </c>
      <c r="H124" s="196">
        <f>H125+H128+H129</f>
        <v>160.02</v>
      </c>
      <c r="I124" s="282" t="s">
        <v>67</v>
      </c>
      <c r="J124" s="196">
        <f>J125+J128+J129</f>
        <v>168.7658</v>
      </c>
      <c r="K124" s="197">
        <f t="shared" si="21"/>
        <v>5.465441819772536</v>
      </c>
      <c r="L124" s="196">
        <f>L125+L128+L129</f>
        <v>168.7658</v>
      </c>
      <c r="M124" s="197">
        <f t="shared" si="28"/>
        <v>5.465441819772536</v>
      </c>
      <c r="N124" s="196">
        <f>L124-J124</f>
        <v>0</v>
      </c>
      <c r="O124" s="196">
        <f>L124/($L$160+1E-103)*100</f>
        <v>1.316962333185933</v>
      </c>
      <c r="P124" s="195">
        <f>P125+P128+P129</f>
        <v>152.4</v>
      </c>
      <c r="Q124" s="186">
        <f aca="true" t="shared" si="31" ref="Q124:Q153">P124/(F124+1E-106)*100-100</f>
        <v>0</v>
      </c>
      <c r="R124" s="195">
        <f>R125+R128+R129</f>
        <v>158.88633819999998</v>
      </c>
      <c r="S124" s="185">
        <f t="shared" si="29"/>
        <v>4.256127427821511</v>
      </c>
      <c r="T124" s="185">
        <f t="shared" si="25"/>
        <v>4.256127427821511</v>
      </c>
      <c r="U124" s="186">
        <f aca="true" t="shared" si="32" ref="U124:U153">R124-J124</f>
        <v>-9.87946180000003</v>
      </c>
      <c r="V124" s="189" t="e">
        <f>R124/($R$160+1E-103)*100</f>
        <v>#REF!</v>
      </c>
      <c r="W124" s="194"/>
      <c r="X124" s="55"/>
    </row>
    <row r="125" spans="1:23" ht="12" customHeight="1">
      <c r="A125" s="12" t="s">
        <v>33</v>
      </c>
      <c r="B125" s="13" t="s">
        <v>103</v>
      </c>
      <c r="C125" s="44" t="s">
        <v>79</v>
      </c>
      <c r="D125" s="152">
        <v>107.09</v>
      </c>
      <c r="E125" s="244"/>
      <c r="F125" s="152">
        <v>107.1</v>
      </c>
      <c r="G125" s="244">
        <v>0</v>
      </c>
      <c r="H125" s="152">
        <v>112.5</v>
      </c>
      <c r="I125" s="245" t="s">
        <v>67</v>
      </c>
      <c r="J125" s="244">
        <f>H125*1.055</f>
        <v>118.6875</v>
      </c>
      <c r="K125" s="238">
        <f t="shared" si="21"/>
        <v>5.5</v>
      </c>
      <c r="L125" s="152">
        <f>H125*1.055</f>
        <v>118.6875</v>
      </c>
      <c r="M125" s="238">
        <f t="shared" si="28"/>
        <v>5.5</v>
      </c>
      <c r="N125" s="238">
        <f>L125-J125</f>
        <v>0</v>
      </c>
      <c r="O125" s="238"/>
      <c r="P125" s="265">
        <f>F125</f>
        <v>107.1</v>
      </c>
      <c r="Q125" s="266">
        <f t="shared" si="31"/>
        <v>0</v>
      </c>
      <c r="R125" s="289">
        <f>P125*1.051</f>
        <v>112.56209999999999</v>
      </c>
      <c r="S125" s="272">
        <f t="shared" si="29"/>
        <v>5.099999999999994</v>
      </c>
      <c r="T125" s="272">
        <f t="shared" si="25"/>
        <v>5.099999999999994</v>
      </c>
      <c r="U125" s="266">
        <f t="shared" si="32"/>
        <v>-6.125400000000013</v>
      </c>
      <c r="V125" s="283" t="e">
        <f>R125/($R$160+1E-103)*100</f>
        <v>#REF!</v>
      </c>
      <c r="W125" s="51"/>
    </row>
    <row r="126" spans="1:23" ht="12" customHeight="1">
      <c r="A126" s="12"/>
      <c r="B126" s="13" t="s">
        <v>104</v>
      </c>
      <c r="C126" s="142" t="s">
        <v>94</v>
      </c>
      <c r="D126" s="235">
        <f aca="true" t="shared" si="33" ref="D126:J126">D125/12/(D127+1E-100)*1000</f>
        <v>8924.166666666666</v>
      </c>
      <c r="E126" s="229">
        <f t="shared" si="33"/>
        <v>0</v>
      </c>
      <c r="F126" s="235">
        <f t="shared" si="33"/>
        <v>8924.999999999998</v>
      </c>
      <c r="G126" s="229">
        <f>G125/3/(G127+1E-100)*1000</f>
        <v>0</v>
      </c>
      <c r="H126" s="235">
        <f t="shared" si="33"/>
        <v>9375</v>
      </c>
      <c r="I126" s="251" t="s">
        <v>67</v>
      </c>
      <c r="J126" s="229">
        <f t="shared" si="33"/>
        <v>9890.625</v>
      </c>
      <c r="K126" s="238">
        <f t="shared" si="21"/>
        <v>5.5</v>
      </c>
      <c r="L126" s="235">
        <f>L125/12/(L127+1E-100)*1000</f>
        <v>9890.625</v>
      </c>
      <c r="M126" s="238">
        <f t="shared" si="28"/>
        <v>5.5</v>
      </c>
      <c r="N126" s="238"/>
      <c r="O126" s="238"/>
      <c r="P126" s="27">
        <f>F126</f>
        <v>8924.999999999998</v>
      </c>
      <c r="Q126" s="16">
        <f t="shared" si="31"/>
        <v>0</v>
      </c>
      <c r="R126" s="27">
        <f>R125/12/(R127+1E-100)*1000</f>
        <v>9380.175</v>
      </c>
      <c r="S126" s="17">
        <f t="shared" si="29"/>
        <v>5.100000000000023</v>
      </c>
      <c r="T126" s="17">
        <f t="shared" si="25"/>
        <v>5.100000000000023</v>
      </c>
      <c r="U126" s="16">
        <f t="shared" si="32"/>
        <v>-510.4500000000007</v>
      </c>
      <c r="V126" s="39"/>
      <c r="W126" s="51"/>
    </row>
    <row r="127" spans="1:23" ht="12" customHeight="1">
      <c r="A127" s="12"/>
      <c r="B127" s="13" t="s">
        <v>95</v>
      </c>
      <c r="C127" s="142" t="s">
        <v>96</v>
      </c>
      <c r="D127" s="152">
        <v>1</v>
      </c>
      <c r="E127" s="244"/>
      <c r="F127" s="152">
        <v>1</v>
      </c>
      <c r="G127" s="244">
        <v>0</v>
      </c>
      <c r="H127" s="152">
        <v>1</v>
      </c>
      <c r="I127" s="245" t="s">
        <v>67</v>
      </c>
      <c r="J127" s="244">
        <v>1</v>
      </c>
      <c r="K127" s="238">
        <f t="shared" si="21"/>
        <v>0</v>
      </c>
      <c r="L127" s="152">
        <v>1</v>
      </c>
      <c r="M127" s="238">
        <f t="shared" si="28"/>
        <v>0</v>
      </c>
      <c r="N127" s="238"/>
      <c r="O127" s="238"/>
      <c r="P127" s="265">
        <f>F127</f>
        <v>1</v>
      </c>
      <c r="Q127" s="266">
        <f t="shared" si="31"/>
        <v>0</v>
      </c>
      <c r="R127" s="265">
        <f>F127</f>
        <v>1</v>
      </c>
      <c r="S127" s="272">
        <f t="shared" si="29"/>
        <v>0</v>
      </c>
      <c r="T127" s="272">
        <f t="shared" si="25"/>
        <v>0</v>
      </c>
      <c r="U127" s="266">
        <f t="shared" si="32"/>
        <v>0</v>
      </c>
      <c r="V127" s="283" t="e">
        <f>R127/($R$160+1E-103)*100</f>
        <v>#REF!</v>
      </c>
      <c r="W127" s="51"/>
    </row>
    <row r="128" spans="1:23" ht="12" customHeight="1">
      <c r="A128" s="12" t="s">
        <v>33</v>
      </c>
      <c r="B128" s="4" t="s">
        <v>173</v>
      </c>
      <c r="C128" s="44" t="s">
        <v>79</v>
      </c>
      <c r="D128" s="152">
        <v>37.69</v>
      </c>
      <c r="E128" s="244"/>
      <c r="F128" s="152">
        <v>37.7</v>
      </c>
      <c r="G128" s="244">
        <v>0</v>
      </c>
      <c r="H128" s="152">
        <v>39.62</v>
      </c>
      <c r="I128" s="245" t="s">
        <v>67</v>
      </c>
      <c r="J128" s="244">
        <f>H128*1.055</f>
        <v>41.799099999999996</v>
      </c>
      <c r="K128" s="238">
        <f t="shared" si="21"/>
        <v>5.5</v>
      </c>
      <c r="L128" s="152">
        <f>H128*1.055</f>
        <v>41.799099999999996</v>
      </c>
      <c r="M128" s="238">
        <f t="shared" si="28"/>
        <v>5.5</v>
      </c>
      <c r="N128" s="238">
        <f>L128-J128</f>
        <v>0</v>
      </c>
      <c r="O128" s="238"/>
      <c r="P128" s="265">
        <f>F128</f>
        <v>37.7</v>
      </c>
      <c r="Q128" s="266">
        <f t="shared" si="31"/>
        <v>0</v>
      </c>
      <c r="R128" s="23">
        <f>R125*0.342</f>
        <v>38.4962382</v>
      </c>
      <c r="S128" s="272">
        <f t="shared" si="29"/>
        <v>2.112037665782495</v>
      </c>
      <c r="T128" s="272">
        <f t="shared" si="25"/>
        <v>2.112037665782495</v>
      </c>
      <c r="U128" s="266">
        <f t="shared" si="32"/>
        <v>-3.302861799999995</v>
      </c>
      <c r="V128" s="283" t="e">
        <f>R128/($R$160+1E-103)*100</f>
        <v>#REF!</v>
      </c>
      <c r="W128" s="51"/>
    </row>
    <row r="129" spans="1:23" ht="12" customHeight="1">
      <c r="A129" s="12" t="s">
        <v>33</v>
      </c>
      <c r="B129" s="13" t="s">
        <v>105</v>
      </c>
      <c r="C129" s="44" t="s">
        <v>79</v>
      </c>
      <c r="D129" s="152">
        <v>7.65</v>
      </c>
      <c r="E129" s="244"/>
      <c r="F129" s="152">
        <v>7.6</v>
      </c>
      <c r="G129" s="244">
        <v>0</v>
      </c>
      <c r="H129" s="152">
        <v>7.9</v>
      </c>
      <c r="I129" s="245" t="s">
        <v>67</v>
      </c>
      <c r="J129" s="244">
        <f>H129*1.048</f>
        <v>8.279200000000001</v>
      </c>
      <c r="K129" s="238">
        <f t="shared" si="21"/>
        <v>4.800000000000011</v>
      </c>
      <c r="L129" s="152">
        <f>H129*1.048</f>
        <v>8.279200000000001</v>
      </c>
      <c r="M129" s="238">
        <f t="shared" si="28"/>
        <v>4.800000000000011</v>
      </c>
      <c r="N129" s="238">
        <f>L129-J129</f>
        <v>0</v>
      </c>
      <c r="O129" s="238"/>
      <c r="P129" s="265">
        <f>F129</f>
        <v>7.6</v>
      </c>
      <c r="Q129" s="266">
        <f t="shared" si="31"/>
        <v>0</v>
      </c>
      <c r="R129" s="265">
        <f>F129*1.03</f>
        <v>7.827999999999999</v>
      </c>
      <c r="S129" s="272">
        <f t="shared" si="29"/>
        <v>3</v>
      </c>
      <c r="T129" s="272">
        <f t="shared" si="25"/>
        <v>3</v>
      </c>
      <c r="U129" s="266">
        <f t="shared" si="32"/>
        <v>-0.4512000000000018</v>
      </c>
      <c r="V129" s="283" t="e">
        <f>R129/($R$160+1E-103)*100</f>
        <v>#REF!</v>
      </c>
      <c r="W129" s="51"/>
    </row>
    <row r="130" spans="1:24" s="35" customFormat="1" ht="12" customHeight="1">
      <c r="A130" s="188">
        <v>19</v>
      </c>
      <c r="B130" s="200" t="s">
        <v>106</v>
      </c>
      <c r="C130" s="182" t="s">
        <v>79</v>
      </c>
      <c r="D130" s="196">
        <f>D131+D134+D135</f>
        <v>155.06</v>
      </c>
      <c r="E130" s="196">
        <f>E131+E134+E135</f>
        <v>0</v>
      </c>
      <c r="F130" s="330">
        <f>F131+F134+F135</f>
        <v>155.06</v>
      </c>
      <c r="G130" s="196">
        <f>G131+G134+G135</f>
        <v>0</v>
      </c>
      <c r="H130" s="196">
        <f>H131+H134+H135</f>
        <v>162.93</v>
      </c>
      <c r="I130" s="282" t="s">
        <v>67</v>
      </c>
      <c r="J130" s="196">
        <f>J131+J134+J135</f>
        <v>171.04765</v>
      </c>
      <c r="K130" s="197">
        <f t="shared" si="21"/>
        <v>4.982293009267778</v>
      </c>
      <c r="L130" s="196">
        <f>L131+L134+L135</f>
        <v>171.04765</v>
      </c>
      <c r="M130" s="197">
        <f t="shared" si="28"/>
        <v>4.982293009267778</v>
      </c>
      <c r="N130" s="196">
        <f>L130-J130</f>
        <v>0</v>
      </c>
      <c r="O130" s="196">
        <f>L130/($L$160+1E-103)*100</f>
        <v>1.334768728201868</v>
      </c>
      <c r="P130" s="195">
        <f>P131+P134+P135</f>
        <v>155.06</v>
      </c>
      <c r="Q130" s="186">
        <f t="shared" si="31"/>
        <v>0</v>
      </c>
      <c r="R130" s="195">
        <f>R131+R134+R135</f>
        <v>161.76359298</v>
      </c>
      <c r="S130" s="185">
        <f t="shared" si="29"/>
        <v>4.32322519024892</v>
      </c>
      <c r="T130" s="185">
        <f t="shared" si="25"/>
        <v>4.32322519024892</v>
      </c>
      <c r="U130" s="186">
        <f t="shared" si="32"/>
        <v>-9.284057020000006</v>
      </c>
      <c r="V130" s="189" t="e">
        <f>R130/($R$160+1E-103)*100</f>
        <v>#REF!</v>
      </c>
      <c r="W130" s="194"/>
      <c r="X130" s="56"/>
    </row>
    <row r="131" spans="1:24" ht="12" customHeight="1">
      <c r="A131" s="12" t="s">
        <v>33</v>
      </c>
      <c r="B131" s="13" t="s">
        <v>103</v>
      </c>
      <c r="C131" s="44" t="s">
        <v>79</v>
      </c>
      <c r="D131" s="152">
        <v>114.69</v>
      </c>
      <c r="E131" s="244"/>
      <c r="F131" s="152">
        <v>114.69</v>
      </c>
      <c r="G131" s="244">
        <v>0</v>
      </c>
      <c r="H131" s="152">
        <v>120.5</v>
      </c>
      <c r="I131" s="245" t="s">
        <v>67</v>
      </c>
      <c r="J131" s="244">
        <f>H131*1.048</f>
        <v>126.284</v>
      </c>
      <c r="K131" s="238">
        <f t="shared" si="21"/>
        <v>4.800000000000011</v>
      </c>
      <c r="L131" s="152">
        <f>H131*1.048</f>
        <v>126.284</v>
      </c>
      <c r="M131" s="238">
        <f t="shared" si="28"/>
        <v>4.800000000000011</v>
      </c>
      <c r="N131" s="238">
        <f>L131-J131</f>
        <v>0</v>
      </c>
      <c r="O131" s="238"/>
      <c r="P131" s="273">
        <f>F131</f>
        <v>114.69</v>
      </c>
      <c r="Q131" s="266">
        <f t="shared" si="31"/>
        <v>0</v>
      </c>
      <c r="R131" s="289">
        <f>P131*1.051</f>
        <v>120.53918999999999</v>
      </c>
      <c r="S131" s="272">
        <f t="shared" si="29"/>
        <v>5.099999999999994</v>
      </c>
      <c r="T131" s="272">
        <f t="shared" si="25"/>
        <v>5.099999999999994</v>
      </c>
      <c r="U131" s="266">
        <f t="shared" si="32"/>
        <v>-5.744810000000015</v>
      </c>
      <c r="V131" s="283" t="e">
        <f>R131/($R$160+1E-103)*100</f>
        <v>#REF!</v>
      </c>
      <c r="W131" s="51"/>
      <c r="X131" s="57"/>
    </row>
    <row r="132" spans="1:24" ht="12" customHeight="1">
      <c r="A132" s="12"/>
      <c r="B132" s="13" t="s">
        <v>104</v>
      </c>
      <c r="C132" s="142" t="s">
        <v>94</v>
      </c>
      <c r="D132" s="235">
        <f aca="true" t="shared" si="34" ref="D132:J132">D131/12/(D133+1E-100)*1000</f>
        <v>9557.5</v>
      </c>
      <c r="E132" s="229">
        <f t="shared" si="34"/>
        <v>0</v>
      </c>
      <c r="F132" s="235">
        <f t="shared" si="34"/>
        <v>9557.5</v>
      </c>
      <c r="G132" s="229">
        <f>G131/3/(G133+1E-100)*1000</f>
        <v>0</v>
      </c>
      <c r="H132" s="235">
        <f t="shared" si="34"/>
        <v>10041.666666666666</v>
      </c>
      <c r="I132" s="251" t="s">
        <v>67</v>
      </c>
      <c r="J132" s="229">
        <f t="shared" si="34"/>
        <v>10523.666666666668</v>
      </c>
      <c r="K132" s="238">
        <f t="shared" si="21"/>
        <v>4.800000000000026</v>
      </c>
      <c r="L132" s="235">
        <f>L131/12/(L133+1E-100)*1000</f>
        <v>10523.666666666668</v>
      </c>
      <c r="M132" s="238">
        <f t="shared" si="28"/>
        <v>4.800000000000026</v>
      </c>
      <c r="N132" s="238"/>
      <c r="O132" s="238"/>
      <c r="P132" s="42">
        <f>F132</f>
        <v>9557.5</v>
      </c>
      <c r="Q132" s="16">
        <f t="shared" si="31"/>
        <v>0</v>
      </c>
      <c r="R132" s="27">
        <f>R131/12/(R133+1E-100)*1000</f>
        <v>10044.932499999999</v>
      </c>
      <c r="S132" s="17">
        <f t="shared" si="29"/>
        <v>5.099999999999994</v>
      </c>
      <c r="T132" s="17">
        <f aca="true" t="shared" si="35" ref="T132:T153">R132/(F132+1E-106)*100-100</f>
        <v>5.099999999999994</v>
      </c>
      <c r="U132" s="16">
        <f t="shared" si="32"/>
        <v>-478.7341666666689</v>
      </c>
      <c r="V132" s="39"/>
      <c r="W132" s="51"/>
      <c r="X132" s="57"/>
    </row>
    <row r="133" spans="1:24" ht="12" customHeight="1">
      <c r="A133" s="12"/>
      <c r="B133" s="13" t="s">
        <v>95</v>
      </c>
      <c r="C133" s="142" t="s">
        <v>96</v>
      </c>
      <c r="D133" s="152">
        <v>1</v>
      </c>
      <c r="E133" s="244"/>
      <c r="F133" s="152">
        <v>1</v>
      </c>
      <c r="G133" s="244">
        <v>0</v>
      </c>
      <c r="H133" s="152">
        <v>1</v>
      </c>
      <c r="I133" s="245" t="s">
        <v>67</v>
      </c>
      <c r="J133" s="244">
        <v>1</v>
      </c>
      <c r="K133" s="238">
        <f t="shared" si="21"/>
        <v>0</v>
      </c>
      <c r="L133" s="152">
        <v>1</v>
      </c>
      <c r="M133" s="238">
        <f t="shared" si="28"/>
        <v>0</v>
      </c>
      <c r="N133" s="238"/>
      <c r="O133" s="238"/>
      <c r="P133" s="273">
        <f>F133</f>
        <v>1</v>
      </c>
      <c r="Q133" s="266">
        <f t="shared" si="31"/>
        <v>0</v>
      </c>
      <c r="R133" s="265">
        <f>F133</f>
        <v>1</v>
      </c>
      <c r="S133" s="272">
        <f t="shared" si="29"/>
        <v>0</v>
      </c>
      <c r="T133" s="272">
        <f t="shared" si="35"/>
        <v>0</v>
      </c>
      <c r="U133" s="266">
        <f t="shared" si="32"/>
        <v>0</v>
      </c>
      <c r="V133" s="283" t="e">
        <f aca="true" t="shared" si="36" ref="V133:V153">R133/($R$160+1E-103)*100</f>
        <v>#REF!</v>
      </c>
      <c r="W133" s="51"/>
      <c r="X133" s="57"/>
    </row>
    <row r="134" spans="1:24" ht="12" customHeight="1">
      <c r="A134" s="12" t="s">
        <v>33</v>
      </c>
      <c r="B134" s="4" t="s">
        <v>173</v>
      </c>
      <c r="C134" s="44" t="s">
        <v>79</v>
      </c>
      <c r="D134" s="152">
        <v>40.37</v>
      </c>
      <c r="E134" s="244"/>
      <c r="F134" s="152">
        <v>40.37</v>
      </c>
      <c r="G134" s="244">
        <v>0</v>
      </c>
      <c r="H134" s="152">
        <v>42.43</v>
      </c>
      <c r="I134" s="245" t="s">
        <v>67</v>
      </c>
      <c r="J134" s="244">
        <f>H134*1.055</f>
        <v>44.76365</v>
      </c>
      <c r="K134" s="238">
        <f t="shared" si="21"/>
        <v>5.5</v>
      </c>
      <c r="L134" s="152">
        <f>H134*1.055</f>
        <v>44.76365</v>
      </c>
      <c r="M134" s="238">
        <f t="shared" si="28"/>
        <v>5.5</v>
      </c>
      <c r="N134" s="238">
        <f aca="true" t="shared" si="37" ref="N134:N146">L134-J134</f>
        <v>0</v>
      </c>
      <c r="O134" s="238"/>
      <c r="P134" s="273">
        <f>F134</f>
        <v>40.37</v>
      </c>
      <c r="Q134" s="266">
        <f t="shared" si="31"/>
        <v>0</v>
      </c>
      <c r="R134" s="23">
        <f>R131*0.342</f>
        <v>41.22440298</v>
      </c>
      <c r="S134" s="272">
        <f t="shared" si="29"/>
        <v>2.1164304681694546</v>
      </c>
      <c r="T134" s="272">
        <f t="shared" si="35"/>
        <v>2.1164304681694546</v>
      </c>
      <c r="U134" s="266">
        <f t="shared" si="32"/>
        <v>-3.5392470199999977</v>
      </c>
      <c r="V134" s="283" t="e">
        <f t="shared" si="36"/>
        <v>#REF!</v>
      </c>
      <c r="W134" s="51"/>
      <c r="X134" s="57"/>
    </row>
    <row r="135" spans="1:24" ht="12" customHeight="1">
      <c r="A135" s="12" t="s">
        <v>33</v>
      </c>
      <c r="B135" s="13" t="s">
        <v>105</v>
      </c>
      <c r="C135" s="44" t="s">
        <v>79</v>
      </c>
      <c r="D135" s="152">
        <v>0</v>
      </c>
      <c r="E135" s="244"/>
      <c r="F135" s="152"/>
      <c r="G135" s="244">
        <v>0</v>
      </c>
      <c r="H135" s="152">
        <v>0</v>
      </c>
      <c r="I135" s="245" t="s">
        <v>67</v>
      </c>
      <c r="J135" s="244">
        <f>H135*1.048</f>
        <v>0</v>
      </c>
      <c r="K135" s="238">
        <f t="shared" si="21"/>
        <v>-100</v>
      </c>
      <c r="L135" s="152"/>
      <c r="M135" s="238">
        <f t="shared" si="28"/>
        <v>-100</v>
      </c>
      <c r="N135" s="238">
        <f t="shared" si="37"/>
        <v>0</v>
      </c>
      <c r="O135" s="238"/>
      <c r="P135" s="273">
        <f>F135</f>
        <v>0</v>
      </c>
      <c r="Q135" s="266">
        <f t="shared" si="31"/>
        <v>-100</v>
      </c>
      <c r="R135" s="265">
        <f>F135*1.03</f>
        <v>0</v>
      </c>
      <c r="S135" s="272">
        <f t="shared" si="29"/>
        <v>-100</v>
      </c>
      <c r="T135" s="272">
        <f t="shared" si="35"/>
        <v>-100</v>
      </c>
      <c r="U135" s="266">
        <f t="shared" si="32"/>
        <v>0</v>
      </c>
      <c r="V135" s="283" t="e">
        <f t="shared" si="36"/>
        <v>#REF!</v>
      </c>
      <c r="W135" s="51"/>
      <c r="X135" s="57"/>
    </row>
    <row r="136" spans="1:24" s="35" customFormat="1" ht="12" customHeight="1">
      <c r="A136" s="188">
        <v>20</v>
      </c>
      <c r="B136" s="181" t="s">
        <v>107</v>
      </c>
      <c r="C136" s="182" t="s">
        <v>79</v>
      </c>
      <c r="D136" s="196">
        <f>D137+D138+D139+D140</f>
        <v>189.93</v>
      </c>
      <c r="E136" s="196">
        <f aca="true" t="shared" si="38" ref="E136:L136">E137+E138+E139+E140</f>
        <v>0</v>
      </c>
      <c r="F136" s="196">
        <f t="shared" si="38"/>
        <v>189.9</v>
      </c>
      <c r="G136" s="196">
        <f t="shared" si="38"/>
        <v>0</v>
      </c>
      <c r="H136" s="196">
        <f t="shared" si="38"/>
        <v>195.6</v>
      </c>
      <c r="I136" s="282" t="s">
        <v>67</v>
      </c>
      <c r="J136" s="196">
        <f t="shared" si="38"/>
        <v>800</v>
      </c>
      <c r="K136" s="197">
        <f t="shared" si="21"/>
        <v>308.9979550102249</v>
      </c>
      <c r="L136" s="196">
        <f t="shared" si="38"/>
        <v>804.82</v>
      </c>
      <c r="M136" s="197">
        <f aca="true" t="shared" si="39" ref="M136:M152">L136/(H136+1E-106)*100-100</f>
        <v>311.4621676891616</v>
      </c>
      <c r="N136" s="196">
        <f t="shared" si="37"/>
        <v>4.82000000000005</v>
      </c>
      <c r="O136" s="196">
        <f>L136/($L$160+1E-103)*100</f>
        <v>6.280405301279658</v>
      </c>
      <c r="P136" s="198">
        <f>P137+P138+P139+P140</f>
        <v>189.9</v>
      </c>
      <c r="Q136" s="186">
        <f t="shared" si="31"/>
        <v>0</v>
      </c>
      <c r="R136" s="195">
        <f>R137+R138+R139+R140</f>
        <v>195.597</v>
      </c>
      <c r="S136" s="185">
        <f t="shared" si="29"/>
        <v>3</v>
      </c>
      <c r="T136" s="185">
        <f t="shared" si="35"/>
        <v>3</v>
      </c>
      <c r="U136" s="186">
        <f t="shared" si="32"/>
        <v>-604.403</v>
      </c>
      <c r="V136" s="189" t="e">
        <f t="shared" si="36"/>
        <v>#REF!</v>
      </c>
      <c r="W136" s="194"/>
      <c r="X136" s="55"/>
    </row>
    <row r="137" spans="1:23" ht="25.5">
      <c r="A137" s="12" t="s">
        <v>33</v>
      </c>
      <c r="B137" s="13" t="s">
        <v>108</v>
      </c>
      <c r="C137" s="44" t="s">
        <v>79</v>
      </c>
      <c r="D137" s="152">
        <v>0</v>
      </c>
      <c r="E137" s="244"/>
      <c r="F137" s="152">
        <v>0</v>
      </c>
      <c r="G137" s="244">
        <v>0</v>
      </c>
      <c r="H137" s="152">
        <v>0</v>
      </c>
      <c r="I137" s="245" t="s">
        <v>67</v>
      </c>
      <c r="J137" s="244">
        <f>H137*1.048</f>
        <v>0</v>
      </c>
      <c r="K137" s="238">
        <f aca="true" t="shared" si="40" ref="K137:K161">J137/(H137+1E-133)*100-100</f>
        <v>-100</v>
      </c>
      <c r="L137" s="152">
        <v>4.82</v>
      </c>
      <c r="M137" s="238">
        <f t="shared" si="39"/>
        <v>4.82E+108</v>
      </c>
      <c r="N137" s="238">
        <f t="shared" si="37"/>
        <v>4.82</v>
      </c>
      <c r="O137" s="238"/>
      <c r="P137" s="265">
        <f>F137</f>
        <v>0</v>
      </c>
      <c r="Q137" s="266">
        <f t="shared" si="31"/>
        <v>-100</v>
      </c>
      <c r="R137" s="265">
        <f>F137*1.03</f>
        <v>0</v>
      </c>
      <c r="S137" s="272">
        <f t="shared" si="29"/>
        <v>-100</v>
      </c>
      <c r="T137" s="272">
        <f t="shared" si="35"/>
        <v>-100</v>
      </c>
      <c r="U137" s="266">
        <f t="shared" si="32"/>
        <v>0</v>
      </c>
      <c r="V137" s="283" t="e">
        <f t="shared" si="36"/>
        <v>#REF!</v>
      </c>
      <c r="W137" s="31"/>
    </row>
    <row r="138" spans="1:23" ht="12.75">
      <c r="A138" s="12" t="s">
        <v>33</v>
      </c>
      <c r="B138" s="13" t="s">
        <v>109</v>
      </c>
      <c r="C138" s="44" t="s">
        <v>79</v>
      </c>
      <c r="D138" s="152">
        <v>189.93</v>
      </c>
      <c r="E138" s="244"/>
      <c r="F138" s="152">
        <v>189.9</v>
      </c>
      <c r="G138" s="244">
        <v>0</v>
      </c>
      <c r="H138" s="152">
        <v>195.6</v>
      </c>
      <c r="I138" s="245" t="s">
        <v>67</v>
      </c>
      <c r="J138" s="244">
        <v>800</v>
      </c>
      <c r="K138" s="229">
        <f t="shared" si="40"/>
        <v>308.9979550102249</v>
      </c>
      <c r="L138" s="244">
        <v>800</v>
      </c>
      <c r="M138" s="238">
        <f t="shared" si="39"/>
        <v>308.9979550102249</v>
      </c>
      <c r="N138" s="238">
        <f t="shared" si="37"/>
        <v>0</v>
      </c>
      <c r="O138" s="238"/>
      <c r="P138" s="265">
        <f>F138</f>
        <v>189.9</v>
      </c>
      <c r="Q138" s="266">
        <f t="shared" si="31"/>
        <v>0</v>
      </c>
      <c r="R138" s="265">
        <f>F138*1.03</f>
        <v>195.597</v>
      </c>
      <c r="S138" s="272">
        <f t="shared" si="29"/>
        <v>3</v>
      </c>
      <c r="T138" s="272">
        <f t="shared" si="35"/>
        <v>3</v>
      </c>
      <c r="U138" s="266">
        <f t="shared" si="32"/>
        <v>-604.403</v>
      </c>
      <c r="V138" s="283" t="e">
        <f t="shared" si="36"/>
        <v>#REF!</v>
      </c>
      <c r="W138" s="40"/>
    </row>
    <row r="139" spans="1:23" ht="12.75">
      <c r="A139" s="12" t="s">
        <v>33</v>
      </c>
      <c r="B139" s="13" t="s">
        <v>110</v>
      </c>
      <c r="C139" s="44" t="s">
        <v>79</v>
      </c>
      <c r="D139" s="152">
        <v>0</v>
      </c>
      <c r="E139" s="244"/>
      <c r="F139" s="152">
        <v>0</v>
      </c>
      <c r="G139" s="244">
        <v>0</v>
      </c>
      <c r="H139" s="152">
        <v>0</v>
      </c>
      <c r="I139" s="245" t="s">
        <v>67</v>
      </c>
      <c r="J139" s="244">
        <f>H139*1.048</f>
        <v>0</v>
      </c>
      <c r="K139" s="229">
        <f t="shared" si="40"/>
        <v>-100</v>
      </c>
      <c r="L139" s="244"/>
      <c r="M139" s="238">
        <f t="shared" si="39"/>
        <v>-100</v>
      </c>
      <c r="N139" s="238">
        <f t="shared" si="37"/>
        <v>0</v>
      </c>
      <c r="O139" s="238"/>
      <c r="P139" s="265">
        <f>F139</f>
        <v>0</v>
      </c>
      <c r="Q139" s="266">
        <f t="shared" si="31"/>
        <v>-100</v>
      </c>
      <c r="R139" s="265">
        <f>F139*1.03</f>
        <v>0</v>
      </c>
      <c r="S139" s="272">
        <f t="shared" si="29"/>
        <v>-100</v>
      </c>
      <c r="T139" s="272">
        <f t="shared" si="35"/>
        <v>-100</v>
      </c>
      <c r="U139" s="266">
        <f t="shared" si="32"/>
        <v>0</v>
      </c>
      <c r="V139" s="283" t="e">
        <f t="shared" si="36"/>
        <v>#REF!</v>
      </c>
      <c r="W139" s="40"/>
    </row>
    <row r="140" spans="1:23" ht="12.75">
      <c r="A140" s="12" t="s">
        <v>33</v>
      </c>
      <c r="B140" s="13" t="s">
        <v>105</v>
      </c>
      <c r="C140" s="44" t="s">
        <v>79</v>
      </c>
      <c r="D140" s="152">
        <v>0</v>
      </c>
      <c r="E140" s="244"/>
      <c r="F140" s="152">
        <v>0</v>
      </c>
      <c r="G140" s="244">
        <v>0</v>
      </c>
      <c r="H140" s="152">
        <v>0</v>
      </c>
      <c r="I140" s="245" t="s">
        <v>67</v>
      </c>
      <c r="J140" s="244">
        <f>H140*1.048</f>
        <v>0</v>
      </c>
      <c r="K140" s="229">
        <f t="shared" si="40"/>
        <v>-100</v>
      </c>
      <c r="L140" s="244"/>
      <c r="M140" s="238">
        <f t="shared" si="39"/>
        <v>-100</v>
      </c>
      <c r="N140" s="238">
        <f t="shared" si="37"/>
        <v>0</v>
      </c>
      <c r="O140" s="238"/>
      <c r="P140" s="265">
        <f>F140</f>
        <v>0</v>
      </c>
      <c r="Q140" s="266">
        <f t="shared" si="31"/>
        <v>-100</v>
      </c>
      <c r="R140" s="265">
        <f>F140*1.03</f>
        <v>0</v>
      </c>
      <c r="S140" s="272">
        <f t="shared" si="29"/>
        <v>-100</v>
      </c>
      <c r="T140" s="272">
        <f t="shared" si="35"/>
        <v>-100</v>
      </c>
      <c r="U140" s="266">
        <f t="shared" si="32"/>
        <v>0</v>
      </c>
      <c r="V140" s="283" t="e">
        <f t="shared" si="36"/>
        <v>#REF!</v>
      </c>
      <c r="W140" s="40"/>
    </row>
    <row r="141" spans="1:24" s="35" customFormat="1" ht="25.5">
      <c r="A141" s="188">
        <v>21</v>
      </c>
      <c r="B141" s="181" t="s">
        <v>111</v>
      </c>
      <c r="C141" s="182" t="s">
        <v>79</v>
      </c>
      <c r="D141" s="196">
        <f>D142+D143</f>
        <v>4</v>
      </c>
      <c r="E141" s="196">
        <f aca="true" t="shared" si="41" ref="E141:L141">E142+E143</f>
        <v>0</v>
      </c>
      <c r="F141" s="196">
        <f t="shared" si="41"/>
        <v>4</v>
      </c>
      <c r="G141" s="196">
        <f t="shared" si="41"/>
        <v>0</v>
      </c>
      <c r="H141" s="196">
        <f t="shared" si="41"/>
        <v>4</v>
      </c>
      <c r="I141" s="282" t="s">
        <v>67</v>
      </c>
      <c r="J141" s="196">
        <f t="shared" si="41"/>
        <v>4.192</v>
      </c>
      <c r="K141" s="197">
        <f t="shared" si="40"/>
        <v>4.800000000000011</v>
      </c>
      <c r="L141" s="196">
        <f t="shared" si="41"/>
        <v>22.01</v>
      </c>
      <c r="M141" s="197">
        <f t="shared" si="39"/>
        <v>450.25</v>
      </c>
      <c r="N141" s="196">
        <f t="shared" si="37"/>
        <v>17.818</v>
      </c>
      <c r="O141" s="196">
        <f>L141/($L$160+1E-103)*100</f>
        <v>0.17175482801268022</v>
      </c>
      <c r="P141" s="195" t="e">
        <f>P142+P143+#REF!</f>
        <v>#REF!</v>
      </c>
      <c r="Q141" s="186" t="e">
        <f t="shared" si="31"/>
        <v>#REF!</v>
      </c>
      <c r="R141" s="195" t="e">
        <f>R142+R143+#REF!</f>
        <v>#REF!</v>
      </c>
      <c r="S141" s="185" t="e">
        <f t="shared" si="29"/>
        <v>#REF!</v>
      </c>
      <c r="T141" s="185" t="e">
        <f t="shared" si="35"/>
        <v>#REF!</v>
      </c>
      <c r="U141" s="186" t="e">
        <f t="shared" si="32"/>
        <v>#REF!</v>
      </c>
      <c r="V141" s="189" t="e">
        <f t="shared" si="36"/>
        <v>#REF!</v>
      </c>
      <c r="W141" s="194"/>
      <c r="X141" s="55"/>
    </row>
    <row r="142" spans="1:23" ht="12.75">
      <c r="A142" s="12" t="s">
        <v>33</v>
      </c>
      <c r="B142" s="13" t="s">
        <v>112</v>
      </c>
      <c r="C142" s="44" t="s">
        <v>79</v>
      </c>
      <c r="D142" s="152">
        <v>0</v>
      </c>
      <c r="E142" s="244"/>
      <c r="F142" s="152">
        <v>0</v>
      </c>
      <c r="G142" s="244">
        <v>0</v>
      </c>
      <c r="H142" s="152">
        <v>0</v>
      </c>
      <c r="I142" s="245" t="s">
        <v>67</v>
      </c>
      <c r="J142" s="244">
        <f>H142*1.048</f>
        <v>0</v>
      </c>
      <c r="K142" s="238">
        <f t="shared" si="40"/>
        <v>-100</v>
      </c>
      <c r="L142" s="152">
        <v>17.82</v>
      </c>
      <c r="M142" s="238">
        <f t="shared" si="39"/>
        <v>1.782E+109</v>
      </c>
      <c r="N142" s="238">
        <f t="shared" si="37"/>
        <v>17.82</v>
      </c>
      <c r="O142" s="238"/>
      <c r="P142" s="265">
        <f>F142</f>
        <v>0</v>
      </c>
      <c r="Q142" s="266">
        <f t="shared" si="31"/>
        <v>-100</v>
      </c>
      <c r="R142" s="265">
        <f>F142</f>
        <v>0</v>
      </c>
      <c r="S142" s="272">
        <f t="shared" si="29"/>
        <v>-100</v>
      </c>
      <c r="T142" s="272">
        <f t="shared" si="35"/>
        <v>-100</v>
      </c>
      <c r="U142" s="266">
        <f t="shared" si="32"/>
        <v>0</v>
      </c>
      <c r="V142" s="283" t="e">
        <f t="shared" si="36"/>
        <v>#REF!</v>
      </c>
      <c r="W142" s="31"/>
    </row>
    <row r="143" spans="1:23" ht="12.75">
      <c r="A143" s="12" t="s">
        <v>33</v>
      </c>
      <c r="B143" s="13" t="s">
        <v>113</v>
      </c>
      <c r="C143" s="44" t="s">
        <v>79</v>
      </c>
      <c r="D143" s="152">
        <v>4</v>
      </c>
      <c r="E143" s="244"/>
      <c r="F143" s="152">
        <v>4</v>
      </c>
      <c r="G143" s="244">
        <v>0</v>
      </c>
      <c r="H143" s="152">
        <v>4</v>
      </c>
      <c r="I143" s="245" t="s">
        <v>67</v>
      </c>
      <c r="J143" s="244">
        <f>H143*1.048</f>
        <v>4.192</v>
      </c>
      <c r="K143" s="229">
        <f t="shared" si="40"/>
        <v>4.800000000000011</v>
      </c>
      <c r="L143" s="244">
        <v>4.19</v>
      </c>
      <c r="M143" s="238">
        <f t="shared" si="39"/>
        <v>4.750000000000014</v>
      </c>
      <c r="N143" s="238">
        <f t="shared" si="37"/>
        <v>-0.0019999999999997797</v>
      </c>
      <c r="O143" s="238"/>
      <c r="P143" s="265">
        <f>F143</f>
        <v>4</v>
      </c>
      <c r="Q143" s="266">
        <f t="shared" si="31"/>
        <v>0</v>
      </c>
      <c r="R143" s="265">
        <f>F143</f>
        <v>4</v>
      </c>
      <c r="S143" s="272">
        <f t="shared" si="29"/>
        <v>0</v>
      </c>
      <c r="T143" s="272">
        <f t="shared" si="35"/>
        <v>0</v>
      </c>
      <c r="U143" s="266">
        <f t="shared" si="32"/>
        <v>-0.19200000000000017</v>
      </c>
      <c r="V143" s="283" t="e">
        <f t="shared" si="36"/>
        <v>#REF!</v>
      </c>
      <c r="W143" s="31"/>
    </row>
    <row r="144" spans="1:23" ht="25.5">
      <c r="A144" s="3">
        <v>22</v>
      </c>
      <c r="B144" s="13" t="s">
        <v>115</v>
      </c>
      <c r="C144" s="44" t="s">
        <v>79</v>
      </c>
      <c r="D144" s="152">
        <v>0</v>
      </c>
      <c r="E144" s="244"/>
      <c r="F144" s="152">
        <v>0</v>
      </c>
      <c r="G144" s="244">
        <v>0</v>
      </c>
      <c r="H144" s="152"/>
      <c r="I144" s="245" t="s">
        <v>67</v>
      </c>
      <c r="J144" s="244">
        <v>0</v>
      </c>
      <c r="K144" s="238">
        <f t="shared" si="40"/>
        <v>-100</v>
      </c>
      <c r="L144" s="152">
        <v>0</v>
      </c>
      <c r="M144" s="238">
        <f t="shared" si="39"/>
        <v>-100</v>
      </c>
      <c r="N144" s="238">
        <f t="shared" si="37"/>
        <v>0</v>
      </c>
      <c r="O144" s="238">
        <f>L144/($L$160+1E-103)*100</f>
        <v>0</v>
      </c>
      <c r="P144" s="290">
        <f>F144*1.06</f>
        <v>0</v>
      </c>
      <c r="Q144" s="266">
        <f t="shared" si="31"/>
        <v>-100</v>
      </c>
      <c r="R144" s="290">
        <f>F144*1.12</f>
        <v>0</v>
      </c>
      <c r="S144" s="272">
        <f t="shared" si="29"/>
        <v>-100</v>
      </c>
      <c r="T144" s="272">
        <f t="shared" si="35"/>
        <v>-100</v>
      </c>
      <c r="U144" s="266">
        <f t="shared" si="32"/>
        <v>0</v>
      </c>
      <c r="V144" s="283" t="e">
        <f t="shared" si="36"/>
        <v>#REF!</v>
      </c>
      <c r="W144" s="31"/>
    </row>
    <row r="145" spans="1:24" ht="25.5" customHeight="1">
      <c r="A145" s="217">
        <v>23</v>
      </c>
      <c r="B145" s="218" t="s">
        <v>116</v>
      </c>
      <c r="C145" s="219" t="s">
        <v>79</v>
      </c>
      <c r="D145" s="224">
        <f>D100+D108+D113+D114+D115+D118+D119+D120+D124+D130+D136+D141+D144</f>
        <v>11254.590196634188</v>
      </c>
      <c r="E145" s="224">
        <f aca="true" t="shared" si="42" ref="E145:L145">E100+E108+E113+E114+E115+E118+E119+E120+E124+E130+E136+E141+E144</f>
        <v>0</v>
      </c>
      <c r="F145" s="224">
        <f t="shared" si="42"/>
        <v>11944.111202919397</v>
      </c>
      <c r="G145" s="224">
        <f t="shared" si="42"/>
        <v>0</v>
      </c>
      <c r="H145" s="224">
        <f t="shared" si="42"/>
        <v>12622.31531092294</v>
      </c>
      <c r="I145" s="292" t="s">
        <v>67</v>
      </c>
      <c r="J145" s="224">
        <f t="shared" si="42"/>
        <v>13100.146478554334</v>
      </c>
      <c r="K145" s="224">
        <f t="shared" si="40"/>
        <v>3.7856063318105697</v>
      </c>
      <c r="L145" s="224">
        <f t="shared" si="42"/>
        <v>12634.458050009203</v>
      </c>
      <c r="M145" s="224">
        <f t="shared" si="39"/>
        <v>0.09620056849439607</v>
      </c>
      <c r="N145" s="224">
        <f t="shared" si="37"/>
        <v>-465.6884285451306</v>
      </c>
      <c r="O145" s="224"/>
      <c r="P145" s="48" t="e">
        <f>P100+P108+P113+P114+P115+P118+P119+P120+P124+P130+P136+P141+P144</f>
        <v>#REF!</v>
      </c>
      <c r="Q145" s="48" t="e">
        <f t="shared" si="31"/>
        <v>#REF!</v>
      </c>
      <c r="R145" s="50" t="e">
        <f>R100+R108+R113+R114+R115+R118+R119+R120+R124+R130+R136+R141+R144</f>
        <v>#REF!</v>
      </c>
      <c r="S145" s="221" t="e">
        <f t="shared" si="29"/>
        <v>#REF!</v>
      </c>
      <c r="T145" s="221" t="e">
        <f t="shared" si="35"/>
        <v>#REF!</v>
      </c>
      <c r="U145" s="48" t="e">
        <f t="shared" si="32"/>
        <v>#REF!</v>
      </c>
      <c r="V145" s="220" t="e">
        <f t="shared" si="36"/>
        <v>#REF!</v>
      </c>
      <c r="W145" s="222"/>
      <c r="X145" s="58"/>
    </row>
    <row r="146" spans="1:23" ht="18.75" customHeight="1">
      <c r="A146" s="217">
        <v>24</v>
      </c>
      <c r="B146" s="218" t="s">
        <v>117</v>
      </c>
      <c r="C146" s="223" t="s">
        <v>118</v>
      </c>
      <c r="D146" s="224">
        <f>D145/(D23+1E-100)*1000</f>
        <v>721.4480895278326</v>
      </c>
      <c r="E146" s="224">
        <f aca="true" t="shared" si="43" ref="E146:L146">E145/(E23+1E-100)*1000</f>
        <v>0</v>
      </c>
      <c r="F146" s="224">
        <f t="shared" si="43"/>
        <v>765.6481540332946</v>
      </c>
      <c r="G146" s="224">
        <f t="shared" si="43"/>
        <v>0</v>
      </c>
      <c r="H146" s="224">
        <f t="shared" si="43"/>
        <v>809.1227763412141</v>
      </c>
      <c r="I146" s="292" t="s">
        <v>67</v>
      </c>
      <c r="J146" s="224">
        <f t="shared" si="43"/>
        <v>1095.7165888427467</v>
      </c>
      <c r="K146" s="224">
        <f t="shared" si="40"/>
        <v>35.420312081373595</v>
      </c>
      <c r="L146" s="224">
        <f t="shared" si="43"/>
        <v>1056.765791786747</v>
      </c>
      <c r="M146" s="224">
        <f t="shared" si="39"/>
        <v>30.606358229755187</v>
      </c>
      <c r="N146" s="224">
        <f t="shared" si="37"/>
        <v>-38.9507970559996</v>
      </c>
      <c r="O146" s="224"/>
      <c r="P146" s="70" t="e">
        <f>P145/(P23+1E-100)*1000</f>
        <v>#REF!</v>
      </c>
      <c r="Q146" s="45" t="e">
        <f t="shared" si="31"/>
        <v>#REF!</v>
      </c>
      <c r="R146" s="225" t="e">
        <f>R145/(R23+1E-100)*1000</f>
        <v>#REF!</v>
      </c>
      <c r="S146" s="221" t="e">
        <f t="shared" si="29"/>
        <v>#REF!</v>
      </c>
      <c r="T146" s="221" t="e">
        <f t="shared" si="35"/>
        <v>#REF!</v>
      </c>
      <c r="U146" s="48" t="e">
        <f t="shared" si="32"/>
        <v>#REF!</v>
      </c>
      <c r="V146" s="220" t="e">
        <f t="shared" si="36"/>
        <v>#REF!</v>
      </c>
      <c r="W146" s="226"/>
    </row>
    <row r="147" spans="1:23" ht="12.75" customHeight="1">
      <c r="A147" s="12"/>
      <c r="B147" s="13" t="s">
        <v>119</v>
      </c>
      <c r="C147" s="142" t="s">
        <v>28</v>
      </c>
      <c r="D147" s="235">
        <f aca="true" t="shared" si="44" ref="D147:J147">D148/(D145+1E-95)*100</f>
        <v>2.118868797828971</v>
      </c>
      <c r="E147" s="229">
        <f t="shared" si="44"/>
        <v>0</v>
      </c>
      <c r="F147" s="235">
        <f t="shared" si="44"/>
        <v>1.9971347884110098</v>
      </c>
      <c r="G147" s="229">
        <f t="shared" si="44"/>
        <v>0</v>
      </c>
      <c r="H147" s="235">
        <f t="shared" si="44"/>
        <v>1.888876914631336</v>
      </c>
      <c r="I147" s="239" t="s">
        <v>67</v>
      </c>
      <c r="J147" s="229">
        <f t="shared" si="44"/>
        <v>1.3764731584886767</v>
      </c>
      <c r="K147" s="238">
        <f t="shared" si="40"/>
        <v>-27.127429647403375</v>
      </c>
      <c r="L147" s="235">
        <f>L148/(L145+1E-95)*100</f>
        <v>1.427208031292396</v>
      </c>
      <c r="M147" s="238">
        <f t="shared" si="39"/>
        <v>-24.441448765815792</v>
      </c>
      <c r="N147" s="229">
        <f aca="true" t="shared" si="45" ref="N147:N152">L147-J147</f>
        <v>0.050734872803719355</v>
      </c>
      <c r="O147" s="238"/>
      <c r="P147" s="65" t="e">
        <f>P148/(P145+1E-95)*100</f>
        <v>#REF!</v>
      </c>
      <c r="Q147" s="53" t="e">
        <f t="shared" si="31"/>
        <v>#REF!</v>
      </c>
      <c r="R147" s="65" t="e">
        <f>R148/(R145+1E-95)*100</f>
        <v>#REF!</v>
      </c>
      <c r="S147" s="17" t="e">
        <f t="shared" si="29"/>
        <v>#REF!</v>
      </c>
      <c r="T147" s="17" t="e">
        <f t="shared" si="35"/>
        <v>#REF!</v>
      </c>
      <c r="U147" s="16" t="e">
        <f t="shared" si="32"/>
        <v>#REF!</v>
      </c>
      <c r="V147" s="39" t="e">
        <f t="shared" si="36"/>
        <v>#REF!</v>
      </c>
      <c r="W147" s="329"/>
    </row>
    <row r="148" spans="1:23" ht="12.75" customHeight="1">
      <c r="A148" s="188">
        <v>25</v>
      </c>
      <c r="B148" s="213" t="s">
        <v>120</v>
      </c>
      <c r="C148" s="201" t="s">
        <v>121</v>
      </c>
      <c r="D148" s="197">
        <f>D149+D150+D151+D152+D154+D155</f>
        <v>238.47</v>
      </c>
      <c r="E148" s="197">
        <f aca="true" t="shared" si="46" ref="E148:L148">E149+E150+E151+E152+E154+E155</f>
        <v>0</v>
      </c>
      <c r="F148" s="197">
        <f t="shared" si="46"/>
        <v>238.54000000000002</v>
      </c>
      <c r="G148" s="197">
        <f t="shared" si="46"/>
        <v>0</v>
      </c>
      <c r="H148" s="197">
        <f t="shared" si="46"/>
        <v>238.42</v>
      </c>
      <c r="I148" s="196" t="s">
        <v>67</v>
      </c>
      <c r="J148" s="197">
        <f t="shared" si="46"/>
        <v>180.32</v>
      </c>
      <c r="K148" s="197">
        <f t="shared" si="40"/>
        <v>-24.368761009982393</v>
      </c>
      <c r="L148" s="197">
        <f t="shared" si="46"/>
        <v>180.32</v>
      </c>
      <c r="M148" s="197">
        <f t="shared" si="39"/>
        <v>-24.368761009982393</v>
      </c>
      <c r="N148" s="197">
        <f t="shared" si="45"/>
        <v>0</v>
      </c>
      <c r="O148" s="197">
        <f>L148/($L$160+1E-103)*100</f>
        <v>1.4071254242274644</v>
      </c>
      <c r="P148" s="214">
        <f>P149+P150+P151+P152+P155</f>
        <v>180.37</v>
      </c>
      <c r="Q148" s="215">
        <f t="shared" si="31"/>
        <v>-24.385847237360608</v>
      </c>
      <c r="R148" s="214">
        <f>R149+R150+R151+R152+R155</f>
        <v>189.56887</v>
      </c>
      <c r="S148" s="216">
        <f t="shared" si="29"/>
        <v>5.099999999999994</v>
      </c>
      <c r="T148" s="216">
        <f t="shared" si="35"/>
        <v>-20.529525446465996</v>
      </c>
      <c r="U148" s="184">
        <f t="shared" si="32"/>
        <v>9.24887000000001</v>
      </c>
      <c r="V148" s="183" t="e">
        <f t="shared" si="36"/>
        <v>#REF!</v>
      </c>
      <c r="W148" s="187"/>
    </row>
    <row r="149" spans="1:23" ht="38.25" customHeight="1">
      <c r="A149" s="12" t="s">
        <v>33</v>
      </c>
      <c r="B149" s="390" t="s">
        <v>122</v>
      </c>
      <c r="C149" s="390"/>
      <c r="D149" s="152"/>
      <c r="E149" s="244"/>
      <c r="F149" s="152"/>
      <c r="G149" s="244"/>
      <c r="H149" s="152"/>
      <c r="I149" s="244"/>
      <c r="J149" s="244"/>
      <c r="K149" s="238">
        <f t="shared" si="40"/>
        <v>-100</v>
      </c>
      <c r="L149" s="152"/>
      <c r="M149" s="238">
        <f t="shared" si="39"/>
        <v>-100</v>
      </c>
      <c r="N149" s="238">
        <f t="shared" si="45"/>
        <v>0</v>
      </c>
      <c r="O149" s="238"/>
      <c r="P149" s="291">
        <f>F149</f>
        <v>0</v>
      </c>
      <c r="Q149" s="288">
        <f t="shared" si="31"/>
        <v>-100</v>
      </c>
      <c r="R149" s="291">
        <f>F149</f>
        <v>0</v>
      </c>
      <c r="S149" s="272">
        <f t="shared" si="29"/>
        <v>-100</v>
      </c>
      <c r="T149" s="272">
        <f t="shared" si="35"/>
        <v>-100</v>
      </c>
      <c r="U149" s="266">
        <f t="shared" si="32"/>
        <v>0</v>
      </c>
      <c r="V149" s="283" t="e">
        <f t="shared" si="36"/>
        <v>#REF!</v>
      </c>
      <c r="W149" s="31"/>
    </row>
    <row r="150" spans="1:23" ht="12.75">
      <c r="A150" s="12" t="s">
        <v>33</v>
      </c>
      <c r="B150" s="389" t="s">
        <v>123</v>
      </c>
      <c r="C150" s="389"/>
      <c r="D150" s="247"/>
      <c r="E150" s="244"/>
      <c r="F150" s="152"/>
      <c r="G150" s="244"/>
      <c r="H150" s="152"/>
      <c r="I150" s="244"/>
      <c r="J150" s="244"/>
      <c r="K150" s="238">
        <f t="shared" si="40"/>
        <v>-100</v>
      </c>
      <c r="L150" s="152"/>
      <c r="M150" s="238">
        <f t="shared" si="39"/>
        <v>-100</v>
      </c>
      <c r="N150" s="238">
        <f t="shared" si="45"/>
        <v>0</v>
      </c>
      <c r="O150" s="238"/>
      <c r="P150" s="291">
        <f aca="true" t="shared" si="47" ref="P150:P158">F150</f>
        <v>0</v>
      </c>
      <c r="Q150" s="288">
        <f t="shared" si="31"/>
        <v>-100</v>
      </c>
      <c r="R150" s="291">
        <f>F150*1.051</f>
        <v>0</v>
      </c>
      <c r="S150" s="272">
        <f t="shared" si="29"/>
        <v>-100</v>
      </c>
      <c r="T150" s="272">
        <f t="shared" si="35"/>
        <v>-100</v>
      </c>
      <c r="U150" s="266">
        <f t="shared" si="32"/>
        <v>0</v>
      </c>
      <c r="V150" s="283" t="e">
        <f t="shared" si="36"/>
        <v>#REF!</v>
      </c>
      <c r="W150" s="31"/>
    </row>
    <row r="151" spans="1:23" ht="12.75">
      <c r="A151" s="12" t="s">
        <v>33</v>
      </c>
      <c r="B151" s="389" t="s">
        <v>124</v>
      </c>
      <c r="C151" s="389"/>
      <c r="D151" s="247"/>
      <c r="E151" s="244"/>
      <c r="F151" s="152"/>
      <c r="G151" s="244"/>
      <c r="H151" s="152"/>
      <c r="I151" s="244"/>
      <c r="J151" s="244"/>
      <c r="K151" s="238">
        <f t="shared" si="40"/>
        <v>-100</v>
      </c>
      <c r="L151" s="152"/>
      <c r="M151" s="238">
        <f t="shared" si="39"/>
        <v>-100</v>
      </c>
      <c r="N151" s="238">
        <f t="shared" si="45"/>
        <v>0</v>
      </c>
      <c r="O151" s="238"/>
      <c r="P151" s="291">
        <f t="shared" si="47"/>
        <v>0</v>
      </c>
      <c r="Q151" s="288">
        <f t="shared" si="31"/>
        <v>-100</v>
      </c>
      <c r="R151" s="291">
        <f>F151*1.051</f>
        <v>0</v>
      </c>
      <c r="S151" s="272">
        <f t="shared" si="29"/>
        <v>-100</v>
      </c>
      <c r="T151" s="272">
        <f t="shared" si="35"/>
        <v>-100</v>
      </c>
      <c r="U151" s="266">
        <f t="shared" si="32"/>
        <v>0</v>
      </c>
      <c r="V151" s="283" t="e">
        <f t="shared" si="36"/>
        <v>#REF!</v>
      </c>
      <c r="W151" s="31"/>
    </row>
    <row r="152" spans="1:23" ht="12.75">
      <c r="A152" s="12" t="s">
        <v>33</v>
      </c>
      <c r="B152" s="389" t="s">
        <v>125</v>
      </c>
      <c r="C152" s="389"/>
      <c r="D152" s="247">
        <v>180.37</v>
      </c>
      <c r="E152" s="244"/>
      <c r="F152" s="152">
        <v>180.37</v>
      </c>
      <c r="G152" s="244"/>
      <c r="H152" s="152">
        <v>180.32</v>
      </c>
      <c r="I152" s="244"/>
      <c r="J152" s="244">
        <v>180.32</v>
      </c>
      <c r="K152" s="238">
        <f t="shared" si="40"/>
        <v>0</v>
      </c>
      <c r="L152" s="152">
        <v>180.32</v>
      </c>
      <c r="M152" s="238">
        <f t="shared" si="39"/>
        <v>0</v>
      </c>
      <c r="N152" s="238">
        <f t="shared" si="45"/>
        <v>0</v>
      </c>
      <c r="O152" s="238"/>
      <c r="P152" s="291">
        <f t="shared" si="47"/>
        <v>180.37</v>
      </c>
      <c r="Q152" s="288">
        <f t="shared" si="31"/>
        <v>0</v>
      </c>
      <c r="R152" s="291">
        <f>F152*1.051</f>
        <v>189.56887</v>
      </c>
      <c r="S152" s="272">
        <f t="shared" si="29"/>
        <v>5.099999999999994</v>
      </c>
      <c r="T152" s="272">
        <f t="shared" si="35"/>
        <v>5.099999999999994</v>
      </c>
      <c r="U152" s="266">
        <f t="shared" si="32"/>
        <v>9.24887000000001</v>
      </c>
      <c r="V152" s="283" t="e">
        <f t="shared" si="36"/>
        <v>#REF!</v>
      </c>
      <c r="W152" s="31"/>
    </row>
    <row r="153" spans="1:23" ht="12.75">
      <c r="A153" s="12"/>
      <c r="B153" s="347" t="s">
        <v>126</v>
      </c>
      <c r="C153" s="347"/>
      <c r="D153" s="247"/>
      <c r="E153" s="244"/>
      <c r="F153" s="152"/>
      <c r="G153" s="244"/>
      <c r="H153" s="152"/>
      <c r="I153" s="244"/>
      <c r="J153" s="244"/>
      <c r="K153" s="238">
        <f t="shared" si="40"/>
        <v>-100</v>
      </c>
      <c r="L153" s="152"/>
      <c r="M153" s="238">
        <f>L153/(H153+1E-106)*100-100</f>
        <v>-100</v>
      </c>
      <c r="N153" s="238">
        <f>L153-J153</f>
        <v>0</v>
      </c>
      <c r="O153" s="238"/>
      <c r="P153" s="291">
        <f t="shared" si="47"/>
        <v>0</v>
      </c>
      <c r="Q153" s="288">
        <f t="shared" si="31"/>
        <v>-100</v>
      </c>
      <c r="R153" s="291">
        <f>F153*1.051</f>
        <v>0</v>
      </c>
      <c r="S153" s="272">
        <f t="shared" si="29"/>
        <v>-100</v>
      </c>
      <c r="T153" s="272">
        <f t="shared" si="35"/>
        <v>-100</v>
      </c>
      <c r="U153" s="266">
        <f t="shared" si="32"/>
        <v>0</v>
      </c>
      <c r="V153" s="283" t="e">
        <f t="shared" si="36"/>
        <v>#REF!</v>
      </c>
      <c r="W153" s="31"/>
    </row>
    <row r="154" spans="1:23" ht="12.75">
      <c r="A154" s="12" t="s">
        <v>33</v>
      </c>
      <c r="B154" s="13" t="s">
        <v>114</v>
      </c>
      <c r="C154" s="143"/>
      <c r="D154" s="247">
        <v>58.1</v>
      </c>
      <c r="E154" s="244"/>
      <c r="F154" s="152">
        <v>58.17</v>
      </c>
      <c r="G154" s="244"/>
      <c r="H154" s="152">
        <v>58.1</v>
      </c>
      <c r="I154" s="244"/>
      <c r="J154" s="244"/>
      <c r="K154" s="238">
        <f t="shared" si="40"/>
        <v>-100</v>
      </c>
      <c r="L154" s="152"/>
      <c r="M154" s="238">
        <f>L154/(H154+1E-106)*100-100</f>
        <v>-100</v>
      </c>
      <c r="N154" s="238">
        <f>L154-J154</f>
        <v>0</v>
      </c>
      <c r="O154" s="238"/>
      <c r="P154" s="291"/>
      <c r="Q154" s="288"/>
      <c r="R154" s="291"/>
      <c r="S154" s="272"/>
      <c r="T154" s="272"/>
      <c r="U154" s="266"/>
      <c r="V154" s="283"/>
      <c r="W154" s="31"/>
    </row>
    <row r="155" spans="1:23" ht="25.5">
      <c r="A155" s="12" t="s">
        <v>33</v>
      </c>
      <c r="B155" s="171" t="s">
        <v>127</v>
      </c>
      <c r="C155" s="142"/>
      <c r="D155" s="152"/>
      <c r="E155" s="244"/>
      <c r="F155" s="152"/>
      <c r="G155" s="244"/>
      <c r="H155" s="152"/>
      <c r="I155" s="244"/>
      <c r="J155" s="244"/>
      <c r="K155" s="238">
        <f t="shared" si="40"/>
        <v>-100</v>
      </c>
      <c r="L155" s="152"/>
      <c r="M155" s="238">
        <f>L155/(H155+1E-106)*100-100</f>
        <v>-100</v>
      </c>
      <c r="N155" s="238">
        <f>L155-J155</f>
        <v>0</v>
      </c>
      <c r="O155" s="238"/>
      <c r="P155" s="291">
        <f t="shared" si="47"/>
        <v>0</v>
      </c>
      <c r="Q155" s="288">
        <f aca="true" t="shared" si="48" ref="Q155:Q161">P155/(F155+1E-106)*100-100</f>
        <v>-100</v>
      </c>
      <c r="R155" s="291">
        <f>F155</f>
        <v>0</v>
      </c>
      <c r="S155" s="272">
        <f t="shared" si="29"/>
        <v>-100</v>
      </c>
      <c r="T155" s="272">
        <f aca="true" t="shared" si="49" ref="T155:T161">R155/(F155+1E-106)*100-100</f>
        <v>-100</v>
      </c>
      <c r="U155" s="266">
        <f aca="true" t="shared" si="50" ref="U155:U161">R155-J155</f>
        <v>0</v>
      </c>
      <c r="V155" s="283" t="e">
        <f aca="true" t="shared" si="51" ref="V155:V160">R155/($R$160+1E-103)*100</f>
        <v>#REF!</v>
      </c>
      <c r="W155" s="31"/>
    </row>
    <row r="156" spans="1:23" ht="12.75">
      <c r="A156" s="12"/>
      <c r="B156" s="66" t="s">
        <v>128</v>
      </c>
      <c r="C156" s="142"/>
      <c r="D156" s="152"/>
      <c r="E156" s="244"/>
      <c r="F156" s="152"/>
      <c r="G156" s="244"/>
      <c r="H156" s="152"/>
      <c r="I156" s="244"/>
      <c r="J156" s="244">
        <v>27.05</v>
      </c>
      <c r="K156" s="238">
        <f t="shared" si="40"/>
        <v>2.705E+136</v>
      </c>
      <c r="L156" s="152">
        <v>27.05</v>
      </c>
      <c r="M156" s="238">
        <f aca="true" t="shared" si="52" ref="M156:M161">L156/(H156+1E-106)*100-100</f>
        <v>2.7050000000000004E+109</v>
      </c>
      <c r="N156" s="238">
        <f aca="true" t="shared" si="53" ref="N156:N161">L156-J156</f>
        <v>0</v>
      </c>
      <c r="O156" s="238"/>
      <c r="P156" s="291">
        <f t="shared" si="47"/>
        <v>0</v>
      </c>
      <c r="Q156" s="288">
        <f t="shared" si="48"/>
        <v>-100</v>
      </c>
      <c r="R156" s="291">
        <f>F156</f>
        <v>0</v>
      </c>
      <c r="S156" s="272">
        <f t="shared" si="29"/>
        <v>-100</v>
      </c>
      <c r="T156" s="272">
        <f t="shared" si="49"/>
        <v>-100</v>
      </c>
      <c r="U156" s="266">
        <f t="shared" si="50"/>
        <v>-27.05</v>
      </c>
      <c r="V156" s="283" t="e">
        <f t="shared" si="51"/>
        <v>#REF!</v>
      </c>
      <c r="W156" s="31"/>
    </row>
    <row r="157" spans="1:23" ht="13.5">
      <c r="A157" s="12"/>
      <c r="B157" s="67" t="s">
        <v>203</v>
      </c>
      <c r="C157" s="142" t="s">
        <v>121</v>
      </c>
      <c r="D157" s="236"/>
      <c r="E157" s="239">
        <f>E160-E145</f>
        <v>0</v>
      </c>
      <c r="F157" s="236"/>
      <c r="G157" s="239">
        <f>G160-G145</f>
        <v>0</v>
      </c>
      <c r="H157" s="236"/>
      <c r="I157" s="245"/>
      <c r="J157" s="245"/>
      <c r="K157" s="242">
        <f t="shared" si="40"/>
        <v>-100</v>
      </c>
      <c r="L157" s="236"/>
      <c r="M157" s="242">
        <f t="shared" si="52"/>
        <v>-100</v>
      </c>
      <c r="N157" s="242">
        <f t="shared" si="53"/>
        <v>0</v>
      </c>
      <c r="O157" s="242"/>
      <c r="P157" s="291"/>
      <c r="Q157" s="288">
        <f t="shared" si="48"/>
        <v>-100</v>
      </c>
      <c r="R157" s="291"/>
      <c r="S157" s="272">
        <f t="shared" si="29"/>
        <v>-100</v>
      </c>
      <c r="T157" s="272">
        <f t="shared" si="49"/>
        <v>-100</v>
      </c>
      <c r="U157" s="266">
        <f t="shared" si="50"/>
        <v>0</v>
      </c>
      <c r="V157" s="283" t="e">
        <f t="shared" si="51"/>
        <v>#REF!</v>
      </c>
      <c r="W157" s="31"/>
    </row>
    <row r="158" spans="1:23" ht="15.75">
      <c r="A158" s="3">
        <v>26</v>
      </c>
      <c r="B158" s="13" t="s">
        <v>129</v>
      </c>
      <c r="C158" s="142" t="s">
        <v>121</v>
      </c>
      <c r="D158" s="152"/>
      <c r="E158" s="244"/>
      <c r="F158" s="152">
        <v>0</v>
      </c>
      <c r="G158" s="244">
        <v>0</v>
      </c>
      <c r="H158" s="152">
        <v>0</v>
      </c>
      <c r="I158" s="244"/>
      <c r="J158" s="244">
        <v>0</v>
      </c>
      <c r="K158" s="238">
        <f t="shared" si="40"/>
        <v>-100</v>
      </c>
      <c r="L158" s="152">
        <v>0</v>
      </c>
      <c r="M158" s="238">
        <f t="shared" si="52"/>
        <v>-100</v>
      </c>
      <c r="N158" s="238">
        <f t="shared" si="53"/>
        <v>0</v>
      </c>
      <c r="O158" s="238">
        <f>L158/($L$160+1E-103)*100</f>
        <v>0</v>
      </c>
      <c r="P158" s="291">
        <f t="shared" si="47"/>
        <v>0</v>
      </c>
      <c r="Q158" s="288">
        <f t="shared" si="48"/>
        <v>-100</v>
      </c>
      <c r="R158" s="291">
        <f>F158*1.051</f>
        <v>0</v>
      </c>
      <c r="S158" s="272">
        <f t="shared" si="29"/>
        <v>-100</v>
      </c>
      <c r="T158" s="272">
        <f t="shared" si="49"/>
        <v>-100</v>
      </c>
      <c r="U158" s="266">
        <f t="shared" si="50"/>
        <v>0</v>
      </c>
      <c r="V158" s="283" t="e">
        <f t="shared" si="51"/>
        <v>#REF!</v>
      </c>
      <c r="W158" s="68"/>
    </row>
    <row r="159" spans="1:23" ht="25.5">
      <c r="A159" s="3">
        <v>27</v>
      </c>
      <c r="B159" s="13" t="s">
        <v>130</v>
      </c>
      <c r="C159" s="142" t="s">
        <v>121</v>
      </c>
      <c r="D159" s="152"/>
      <c r="E159" s="244"/>
      <c r="F159" s="152"/>
      <c r="G159" s="244"/>
      <c r="H159" s="152"/>
      <c r="I159" s="244"/>
      <c r="J159" s="244"/>
      <c r="K159" s="238">
        <f t="shared" si="40"/>
        <v>-100</v>
      </c>
      <c r="L159" s="152"/>
      <c r="M159" s="238">
        <f t="shared" si="52"/>
        <v>-100</v>
      </c>
      <c r="N159" s="238">
        <f t="shared" si="53"/>
        <v>0</v>
      </c>
      <c r="O159" s="238">
        <f>L159/($L$160+1E-103)*100</f>
        <v>0</v>
      </c>
      <c r="P159" s="291"/>
      <c r="Q159" s="288">
        <f t="shared" si="48"/>
        <v>-100</v>
      </c>
      <c r="R159" s="291"/>
      <c r="S159" s="272">
        <f t="shared" si="29"/>
        <v>-100</v>
      </c>
      <c r="T159" s="272">
        <f t="shared" si="49"/>
        <v>-100</v>
      </c>
      <c r="U159" s="266">
        <f t="shared" si="50"/>
        <v>0</v>
      </c>
      <c r="V159" s="283" t="e">
        <f t="shared" si="51"/>
        <v>#REF!</v>
      </c>
      <c r="W159" s="69"/>
    </row>
    <row r="160" spans="1:23" ht="24" customHeight="1">
      <c r="A160" s="217">
        <v>28</v>
      </c>
      <c r="B160" s="218" t="s">
        <v>131</v>
      </c>
      <c r="C160" s="223" t="s">
        <v>121</v>
      </c>
      <c r="D160" s="224">
        <f>D145+D148+D158+D159</f>
        <v>11493.060196634187</v>
      </c>
      <c r="E160" s="224">
        <f>E182</f>
        <v>0</v>
      </c>
      <c r="F160" s="224">
        <f aca="true" t="shared" si="54" ref="F160:L160">F145+F148+F158+F159</f>
        <v>12182.651202919398</v>
      </c>
      <c r="G160" s="224">
        <f>G182</f>
        <v>0</v>
      </c>
      <c r="H160" s="224">
        <f t="shared" si="54"/>
        <v>12860.73531092294</v>
      </c>
      <c r="I160" s="224" t="s">
        <v>67</v>
      </c>
      <c r="J160" s="224">
        <f t="shared" si="54"/>
        <v>13280.466478554334</v>
      </c>
      <c r="K160" s="293">
        <f t="shared" si="40"/>
        <v>3.263663837905952</v>
      </c>
      <c r="L160" s="224">
        <f t="shared" si="54"/>
        <v>12814.778050009203</v>
      </c>
      <c r="M160" s="293">
        <f t="shared" si="52"/>
        <v>-0.35734551565418826</v>
      </c>
      <c r="N160" s="224">
        <f t="shared" si="53"/>
        <v>-465.6884285451306</v>
      </c>
      <c r="O160" s="224">
        <f>O100+O108+O113+O114+O115+O118+O119+O120+O124+O130+O136+O141+O144+O148+O158+O159</f>
        <v>100</v>
      </c>
      <c r="P160" s="70" t="e">
        <f>P145+P148+P158+P159</f>
        <v>#REF!</v>
      </c>
      <c r="Q160" s="45" t="e">
        <f t="shared" si="48"/>
        <v>#REF!</v>
      </c>
      <c r="R160" s="70" t="e">
        <f>R145+R148+R158+R159</f>
        <v>#REF!</v>
      </c>
      <c r="S160" s="25" t="e">
        <f t="shared" si="29"/>
        <v>#REF!</v>
      </c>
      <c r="T160" s="25" t="e">
        <f t="shared" si="49"/>
        <v>#REF!</v>
      </c>
      <c r="U160" s="25" t="e">
        <f t="shared" si="50"/>
        <v>#REF!</v>
      </c>
      <c r="V160" s="220" t="e">
        <f t="shared" si="51"/>
        <v>#REF!</v>
      </c>
      <c r="W160" s="227"/>
    </row>
    <row r="161" spans="1:23" ht="22.5" customHeight="1">
      <c r="A161" s="217">
        <v>29</v>
      </c>
      <c r="B161" s="218" t="s">
        <v>132</v>
      </c>
      <c r="C161" s="223" t="s">
        <v>118</v>
      </c>
      <c r="D161" s="224">
        <f>D160/(D23+1E-99)*1000</f>
        <v>736.7346279893709</v>
      </c>
      <c r="E161" s="224">
        <f>E160/(E23+1E-99)*1000</f>
        <v>0</v>
      </c>
      <c r="F161" s="224">
        <f aca="true" t="shared" si="55" ref="F161:L161">F160/(F23+1E-99)*1000</f>
        <v>780.9391796743204</v>
      </c>
      <c r="G161" s="224">
        <f t="shared" si="55"/>
        <v>0</v>
      </c>
      <c r="H161" s="224">
        <f t="shared" si="55"/>
        <v>824.4061096745476</v>
      </c>
      <c r="I161" s="224" t="s">
        <v>67</v>
      </c>
      <c r="J161" s="224">
        <f t="shared" si="55"/>
        <v>1110.798833581275</v>
      </c>
      <c r="K161" s="224">
        <f t="shared" si="40"/>
        <v>34.739277225855005</v>
      </c>
      <c r="L161" s="224">
        <f t="shared" si="55"/>
        <v>1071.8480380390783</v>
      </c>
      <c r="M161" s="293">
        <f t="shared" si="52"/>
        <v>30.014567512389476</v>
      </c>
      <c r="N161" s="224">
        <f t="shared" si="53"/>
        <v>-38.9507955421966</v>
      </c>
      <c r="O161" s="224"/>
      <c r="P161" s="5" t="e">
        <f>P160/(P23+1E-99)*1000</f>
        <v>#REF!</v>
      </c>
      <c r="Q161" s="48" t="e">
        <f t="shared" si="48"/>
        <v>#REF!</v>
      </c>
      <c r="R161" s="5" t="e">
        <f>R160/(R23+1E-99)*1000</f>
        <v>#REF!</v>
      </c>
      <c r="S161" s="221" t="e">
        <f t="shared" si="29"/>
        <v>#REF!</v>
      </c>
      <c r="T161" s="221" t="e">
        <f t="shared" si="49"/>
        <v>#REF!</v>
      </c>
      <c r="U161" s="48" t="e">
        <f t="shared" si="50"/>
        <v>#REF!</v>
      </c>
      <c r="V161" s="45"/>
      <c r="W161" s="228"/>
    </row>
    <row r="162" spans="1:33" ht="12" customHeight="1">
      <c r="A162" s="12"/>
      <c r="B162" s="385"/>
      <c r="C162" s="385"/>
      <c r="D162" s="385"/>
      <c r="E162" s="385"/>
      <c r="F162" s="385"/>
      <c r="G162" s="385"/>
      <c r="H162" s="385"/>
      <c r="I162" s="385"/>
      <c r="J162" s="385"/>
      <c r="K162" s="385"/>
      <c r="L162" s="385"/>
      <c r="M162" s="385"/>
      <c r="N162" s="385"/>
      <c r="O162" s="385"/>
      <c r="P162" s="385"/>
      <c r="Q162" s="385"/>
      <c r="R162" s="385"/>
      <c r="S162" s="385"/>
      <c r="T162" s="385"/>
      <c r="U162" s="385"/>
      <c r="V162" s="385"/>
      <c r="W162" s="385"/>
      <c r="Y162" s="54"/>
      <c r="Z162" s="54"/>
      <c r="AA162" s="54"/>
      <c r="AB162" s="54"/>
      <c r="AC162" s="54"/>
      <c r="AD162" s="54"/>
      <c r="AE162" s="54"/>
      <c r="AF162" s="54"/>
      <c r="AG162" s="54"/>
    </row>
    <row r="163" spans="1:33" ht="34.5" customHeight="1" hidden="1">
      <c r="A163" s="349"/>
      <c r="B163" s="349"/>
      <c r="C163" s="203"/>
      <c r="D163" s="204"/>
      <c r="E163" s="205"/>
      <c r="F163" s="206"/>
      <c r="G163" s="207"/>
      <c r="H163" s="207"/>
      <c r="I163" s="207"/>
      <c r="J163" s="208"/>
      <c r="K163" s="209"/>
      <c r="L163" s="210"/>
      <c r="M163" s="209"/>
      <c r="N163" s="209"/>
      <c r="O163" s="209"/>
      <c r="P163" s="211"/>
      <c r="Q163" s="211"/>
      <c r="R163" s="211"/>
      <c r="S163" s="212"/>
      <c r="T163" s="211"/>
      <c r="U163" s="211"/>
      <c r="V163" s="211"/>
      <c r="W163" s="202"/>
      <c r="Y163" s="54"/>
      <c r="Z163" s="54"/>
      <c r="AA163" s="54"/>
      <c r="AB163" s="54"/>
      <c r="AC163" s="54"/>
      <c r="AD163" s="54"/>
      <c r="AE163" s="54"/>
      <c r="AF163" s="54"/>
      <c r="AG163" s="54"/>
    </row>
    <row r="164" spans="1:33" ht="24" customHeight="1">
      <c r="A164" s="350" t="s">
        <v>213</v>
      </c>
      <c r="B164" s="350"/>
      <c r="C164" s="350"/>
      <c r="D164" s="350"/>
      <c r="E164" s="350"/>
      <c r="F164" s="350"/>
      <c r="G164" s="350"/>
      <c r="H164" s="350"/>
      <c r="I164" s="350"/>
      <c r="J164" s="350"/>
      <c r="K164" s="350"/>
      <c r="L164" s="350"/>
      <c r="M164" s="350"/>
      <c r="N164" s="350"/>
      <c r="O164" s="350"/>
      <c r="P164" s="350"/>
      <c r="Q164" s="350"/>
      <c r="R164" s="350"/>
      <c r="S164" s="350"/>
      <c r="T164" s="350"/>
      <c r="U164" s="350"/>
      <c r="V164" s="350"/>
      <c r="W164" s="350"/>
      <c r="Y164" s="54"/>
      <c r="Z164" s="54"/>
      <c r="AA164" s="54"/>
      <c r="AB164" s="54"/>
      <c r="AC164" s="54"/>
      <c r="AD164" s="54"/>
      <c r="AE164" s="54"/>
      <c r="AF164" s="54"/>
      <c r="AG164" s="54"/>
    </row>
    <row r="165" spans="1:33" s="161" customFormat="1" ht="15.75" customHeight="1">
      <c r="A165" s="341" t="s">
        <v>2</v>
      </c>
      <c r="B165" s="342" t="s">
        <v>133</v>
      </c>
      <c r="C165" s="345" t="s">
        <v>185</v>
      </c>
      <c r="D165" s="346"/>
      <c r="E165" s="346"/>
      <c r="F165" s="345" t="s">
        <v>187</v>
      </c>
      <c r="G165" s="346"/>
      <c r="H165" s="346"/>
      <c r="I165" s="346"/>
      <c r="J165" s="346"/>
      <c r="K165" s="346"/>
      <c r="L165" s="334" t="s">
        <v>194</v>
      </c>
      <c r="M165" s="334"/>
      <c r="N165" s="334"/>
      <c r="O165" s="334"/>
      <c r="P165" s="299"/>
      <c r="Q165" s="299"/>
      <c r="R165" s="299"/>
      <c r="S165" s="299"/>
      <c r="T165" s="299"/>
      <c r="U165" s="299"/>
      <c r="V165" s="299"/>
      <c r="W165" s="299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</row>
    <row r="166" spans="1:33" ht="22.5" customHeight="1">
      <c r="A166" s="341"/>
      <c r="B166" s="343"/>
      <c r="C166" s="341" t="s">
        <v>192</v>
      </c>
      <c r="D166" s="341"/>
      <c r="E166" s="348" t="s">
        <v>202</v>
      </c>
      <c r="F166" s="341" t="s">
        <v>183</v>
      </c>
      <c r="G166" s="341"/>
      <c r="H166" s="341"/>
      <c r="I166" s="341"/>
      <c r="J166" s="348" t="s">
        <v>193</v>
      </c>
      <c r="K166" s="348"/>
      <c r="L166" s="363" t="s">
        <v>175</v>
      </c>
      <c r="M166" s="363"/>
      <c r="N166" s="335" t="s">
        <v>10</v>
      </c>
      <c r="O166" s="335"/>
      <c r="P166" s="363" t="s">
        <v>134</v>
      </c>
      <c r="Q166" s="363"/>
      <c r="R166" s="363"/>
      <c r="S166" s="363"/>
      <c r="T166" s="363"/>
      <c r="U166" s="377" t="s">
        <v>135</v>
      </c>
      <c r="V166" s="377" t="s">
        <v>136</v>
      </c>
      <c r="W166" s="377" t="s">
        <v>177</v>
      </c>
      <c r="X166" s="72"/>
      <c r="Y166" s="73"/>
      <c r="Z166" s="73"/>
      <c r="AA166" s="74"/>
      <c r="AB166" s="54"/>
      <c r="AC166" s="54"/>
      <c r="AD166" s="54"/>
      <c r="AE166" s="54"/>
      <c r="AF166" s="54"/>
      <c r="AG166" s="54"/>
    </row>
    <row r="167" spans="1:33" ht="45" customHeight="1">
      <c r="A167" s="341"/>
      <c r="B167" s="344"/>
      <c r="C167" s="298" t="s">
        <v>190</v>
      </c>
      <c r="D167" s="298" t="s">
        <v>191</v>
      </c>
      <c r="E167" s="348"/>
      <c r="F167" s="298" t="s">
        <v>198</v>
      </c>
      <c r="G167" s="301" t="s">
        <v>199</v>
      </c>
      <c r="H167" s="298" t="s">
        <v>201</v>
      </c>
      <c r="I167" s="301" t="s">
        <v>200</v>
      </c>
      <c r="J167" s="300" t="s">
        <v>181</v>
      </c>
      <c r="K167" s="300" t="s">
        <v>182</v>
      </c>
      <c r="L167" s="301" t="s">
        <v>176</v>
      </c>
      <c r="M167" s="301" t="s">
        <v>10</v>
      </c>
      <c r="N167" s="302" t="s">
        <v>197</v>
      </c>
      <c r="O167" s="303" t="s">
        <v>9</v>
      </c>
      <c r="P167" s="304" t="s">
        <v>137</v>
      </c>
      <c r="Q167" s="303" t="s">
        <v>9</v>
      </c>
      <c r="R167" s="304" t="s">
        <v>138</v>
      </c>
      <c r="S167" s="303" t="s">
        <v>139</v>
      </c>
      <c r="T167" s="303" t="s">
        <v>14</v>
      </c>
      <c r="U167" s="377"/>
      <c r="V167" s="377"/>
      <c r="W167" s="377"/>
      <c r="X167" s="74"/>
      <c r="Y167" s="73"/>
      <c r="Z167" s="73"/>
      <c r="AA167" s="74"/>
      <c r="AB167" s="54"/>
      <c r="AC167" s="54"/>
      <c r="AD167" s="54"/>
      <c r="AE167" s="54"/>
      <c r="AF167" s="54"/>
      <c r="AG167" s="54"/>
    </row>
    <row r="168" spans="1:33" s="163" customFormat="1" ht="11.25" customHeight="1">
      <c r="A168" s="305">
        <v>1</v>
      </c>
      <c r="B168" s="306">
        <v>2</v>
      </c>
      <c r="C168" s="306">
        <v>3</v>
      </c>
      <c r="D168" s="306">
        <v>4</v>
      </c>
      <c r="E168" s="307">
        <v>5</v>
      </c>
      <c r="F168" s="306">
        <v>6</v>
      </c>
      <c r="G168" s="306">
        <v>7</v>
      </c>
      <c r="H168" s="306">
        <v>8</v>
      </c>
      <c r="I168" s="306">
        <v>9</v>
      </c>
      <c r="J168" s="307">
        <v>10</v>
      </c>
      <c r="K168" s="307">
        <v>11</v>
      </c>
      <c r="L168" s="306">
        <v>12</v>
      </c>
      <c r="M168" s="306">
        <v>13</v>
      </c>
      <c r="N168" s="307">
        <v>14</v>
      </c>
      <c r="O168" s="306">
        <v>15</v>
      </c>
      <c r="P168" s="306">
        <v>16</v>
      </c>
      <c r="Q168" s="306">
        <v>17</v>
      </c>
      <c r="R168" s="306">
        <v>18</v>
      </c>
      <c r="S168" s="306">
        <v>19</v>
      </c>
      <c r="T168" s="306">
        <v>20</v>
      </c>
      <c r="U168" s="306">
        <v>21</v>
      </c>
      <c r="V168" s="306">
        <v>22</v>
      </c>
      <c r="W168" s="306">
        <v>23</v>
      </c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</row>
    <row r="169" spans="1:24" s="35" customFormat="1" ht="12.75" customHeight="1">
      <c r="A169" s="75">
        <v>1</v>
      </c>
      <c r="B169" s="76" t="s">
        <v>140</v>
      </c>
      <c r="C169" s="253">
        <f>C170+C171+C172</f>
        <v>0</v>
      </c>
      <c r="D169" s="253">
        <f>D170+D171+D172</f>
        <v>0</v>
      </c>
      <c r="E169" s="153">
        <v>1231.71</v>
      </c>
      <c r="F169" s="253">
        <f>F170+F171+F172</f>
        <v>0</v>
      </c>
      <c r="G169" s="253">
        <f>G170+G171+G172</f>
        <v>0</v>
      </c>
      <c r="H169" s="253">
        <f>H170+H171+H172</f>
        <v>0</v>
      </c>
      <c r="I169" s="253">
        <f>I170+I171+I172</f>
        <v>0</v>
      </c>
      <c r="J169" s="61"/>
      <c r="K169" s="153"/>
      <c r="L169" s="85">
        <f>L170+L171+L172</f>
        <v>517.4</v>
      </c>
      <c r="M169" s="85">
        <f>M170+M171+M172</f>
        <v>517.4</v>
      </c>
      <c r="N169" s="61"/>
      <c r="O169" s="257">
        <f aca="true" t="shared" si="56" ref="O169:O180">N169/(K169+1E-101)*100-100</f>
        <v>-100</v>
      </c>
      <c r="P169" s="45"/>
      <c r="Q169" s="46">
        <f aca="true" t="shared" si="57" ref="Q169:Q177">P169/(J169+1E-101)*100-100</f>
        <v>-100</v>
      </c>
      <c r="R169" s="45"/>
      <c r="S169" s="46">
        <f>R169/(P169+1E-101)*100-100</f>
        <v>-100</v>
      </c>
      <c r="T169" s="46">
        <f aca="true" t="shared" si="58" ref="T169:T177">R169/(J169+1E-101)*100-100</f>
        <v>-100</v>
      </c>
      <c r="U169" s="6"/>
      <c r="V169" s="6">
        <f aca="true" t="shared" si="59" ref="V169:V177">U169/(J169+1E-101)*100-100</f>
        <v>-100</v>
      </c>
      <c r="W169" s="256">
        <f>N169*M169/1000</f>
        <v>0</v>
      </c>
      <c r="X169" s="55"/>
    </row>
    <row r="170" spans="1:23" ht="12.75">
      <c r="A170" s="78"/>
      <c r="B170" s="79" t="s">
        <v>141</v>
      </c>
      <c r="C170" s="80"/>
      <c r="D170" s="80"/>
      <c r="E170" s="154"/>
      <c r="F170" s="43"/>
      <c r="G170" s="43"/>
      <c r="H170" s="43"/>
      <c r="I170" s="80"/>
      <c r="J170" s="150"/>
      <c r="K170" s="154"/>
      <c r="L170" s="258"/>
      <c r="M170" s="308">
        <f>L203</f>
        <v>0</v>
      </c>
      <c r="N170" s="150"/>
      <c r="O170" s="257">
        <f t="shared" si="56"/>
        <v>-100</v>
      </c>
      <c r="P170" s="287"/>
      <c r="Q170" s="288">
        <f t="shared" si="57"/>
        <v>-100</v>
      </c>
      <c r="R170" s="287"/>
      <c r="S170" s="288">
        <f aca="true" t="shared" si="60" ref="S170:S179">R170/(P170+1E-101)*100-100</f>
        <v>-100</v>
      </c>
      <c r="T170" s="288">
        <f t="shared" si="58"/>
        <v>-100</v>
      </c>
      <c r="U170" s="14"/>
      <c r="V170" s="14">
        <f t="shared" si="59"/>
        <v>-100</v>
      </c>
      <c r="W170" s="294"/>
    </row>
    <row r="171" spans="1:23" ht="12.75">
      <c r="A171" s="78"/>
      <c r="B171" s="79" t="s">
        <v>142</v>
      </c>
      <c r="C171" s="80"/>
      <c r="D171" s="80"/>
      <c r="E171" s="154"/>
      <c r="F171" s="43"/>
      <c r="G171" s="43"/>
      <c r="H171" s="43"/>
      <c r="I171" s="80"/>
      <c r="J171" s="150"/>
      <c r="K171" s="154"/>
      <c r="L171" s="258"/>
      <c r="M171" s="308">
        <f>L204</f>
        <v>0</v>
      </c>
      <c r="N171" s="150"/>
      <c r="O171" s="257">
        <f t="shared" si="56"/>
        <v>-100</v>
      </c>
      <c r="P171" s="287"/>
      <c r="Q171" s="288">
        <f t="shared" si="57"/>
        <v>-100</v>
      </c>
      <c r="R171" s="287"/>
      <c r="S171" s="288">
        <f t="shared" si="60"/>
        <v>-100</v>
      </c>
      <c r="T171" s="288">
        <f t="shared" si="58"/>
        <v>-100</v>
      </c>
      <c r="U171" s="14"/>
      <c r="V171" s="14">
        <f t="shared" si="59"/>
        <v>-100</v>
      </c>
      <c r="W171" s="294"/>
    </row>
    <row r="172" spans="1:23" ht="12.75">
      <c r="A172" s="78"/>
      <c r="B172" s="81" t="s">
        <v>143</v>
      </c>
      <c r="C172" s="80"/>
      <c r="D172" s="80"/>
      <c r="E172" s="154">
        <v>1231.71</v>
      </c>
      <c r="F172" s="43"/>
      <c r="G172" s="43"/>
      <c r="H172" s="43"/>
      <c r="I172" s="80"/>
      <c r="J172" s="150"/>
      <c r="K172" s="154"/>
      <c r="L172" s="258">
        <v>517.4</v>
      </c>
      <c r="M172" s="308">
        <f>L205</f>
        <v>517.4</v>
      </c>
      <c r="N172" s="150"/>
      <c r="O172" s="257">
        <f t="shared" si="56"/>
        <v>-100</v>
      </c>
      <c r="P172" s="287"/>
      <c r="Q172" s="288">
        <f t="shared" si="57"/>
        <v>-100</v>
      </c>
      <c r="R172" s="287"/>
      <c r="S172" s="288">
        <f t="shared" si="60"/>
        <v>-100</v>
      </c>
      <c r="T172" s="288">
        <f t="shared" si="58"/>
        <v>-100</v>
      </c>
      <c r="U172" s="14"/>
      <c r="V172" s="14">
        <f t="shared" si="59"/>
        <v>-100</v>
      </c>
      <c r="W172" s="294"/>
    </row>
    <row r="173" spans="1:24" s="35" customFormat="1" ht="12.75">
      <c r="A173" s="75">
        <v>2</v>
      </c>
      <c r="B173" s="260" t="s">
        <v>151</v>
      </c>
      <c r="C173" s="85">
        <f>C174+C177+C178</f>
        <v>15600</v>
      </c>
      <c r="D173" s="85">
        <f>D174+D177+D178</f>
        <v>0</v>
      </c>
      <c r="E173" s="153"/>
      <c r="F173" s="85">
        <f>F174+F177+F178</f>
        <v>15600</v>
      </c>
      <c r="G173" s="85">
        <f>G174+G177+G178</f>
        <v>0</v>
      </c>
      <c r="H173" s="85">
        <f>H174+H177+H178</f>
        <v>15600</v>
      </c>
      <c r="I173" s="85">
        <f>I174+I177+I178</f>
        <v>0</v>
      </c>
      <c r="J173" s="61"/>
      <c r="K173" s="153"/>
      <c r="L173" s="85">
        <f>L174+L177+L178</f>
        <v>11438.380000000001</v>
      </c>
      <c r="M173" s="85">
        <f>M174+M177+M178</f>
        <v>11438.378799999999</v>
      </c>
      <c r="N173" s="61"/>
      <c r="O173" s="261">
        <f t="shared" si="56"/>
        <v>-100</v>
      </c>
      <c r="P173" s="45"/>
      <c r="Q173" s="46">
        <f t="shared" si="57"/>
        <v>-100</v>
      </c>
      <c r="R173" s="45"/>
      <c r="S173" s="46">
        <f t="shared" si="60"/>
        <v>-100</v>
      </c>
      <c r="T173" s="46">
        <f t="shared" si="58"/>
        <v>-100</v>
      </c>
      <c r="U173" s="6"/>
      <c r="V173" s="6">
        <f t="shared" si="59"/>
        <v>-100</v>
      </c>
      <c r="W173" s="46"/>
      <c r="X173" s="55"/>
    </row>
    <row r="174" spans="1:23" ht="12.75">
      <c r="A174" s="78" t="s">
        <v>144</v>
      </c>
      <c r="B174" s="262" t="s">
        <v>145</v>
      </c>
      <c r="C174" s="85">
        <f>C175+C176</f>
        <v>0</v>
      </c>
      <c r="D174" s="85">
        <f aca="true" t="shared" si="61" ref="D174:I174">D175+D176</f>
        <v>0</v>
      </c>
      <c r="E174" s="153">
        <v>989.31</v>
      </c>
      <c r="F174" s="85">
        <f>F175+F176</f>
        <v>0</v>
      </c>
      <c r="G174" s="85">
        <f t="shared" si="61"/>
        <v>0</v>
      </c>
      <c r="H174" s="85">
        <f>H175+H176</f>
        <v>0</v>
      </c>
      <c r="I174" s="85">
        <f t="shared" si="61"/>
        <v>0</v>
      </c>
      <c r="J174" s="150"/>
      <c r="K174" s="154"/>
      <c r="L174" s="137">
        <f>L175+L176</f>
        <v>5775.18</v>
      </c>
      <c r="M174" s="137">
        <f>M175+M176</f>
        <v>5775.1788</v>
      </c>
      <c r="N174" s="150"/>
      <c r="O174" s="261">
        <f t="shared" si="56"/>
        <v>-100</v>
      </c>
      <c r="P174" s="45"/>
      <c r="Q174" s="53">
        <f t="shared" si="57"/>
        <v>-100</v>
      </c>
      <c r="R174" s="52"/>
      <c r="S174" s="53">
        <f t="shared" si="60"/>
        <v>-100</v>
      </c>
      <c r="T174" s="53">
        <f t="shared" si="58"/>
        <v>-100</v>
      </c>
      <c r="U174" s="14"/>
      <c r="V174" s="14">
        <f t="shared" si="59"/>
        <v>-100</v>
      </c>
      <c r="W174" s="256">
        <f>N174*M174/1000</f>
        <v>0</v>
      </c>
    </row>
    <row r="175" spans="1:23" ht="15.75" customHeight="1">
      <c r="A175" s="78"/>
      <c r="B175" s="262" t="s">
        <v>179</v>
      </c>
      <c r="C175" s="80"/>
      <c r="D175" s="80"/>
      <c r="E175" s="154">
        <v>989.31</v>
      </c>
      <c r="F175" s="43"/>
      <c r="G175" s="43"/>
      <c r="H175" s="43"/>
      <c r="I175" s="80"/>
      <c r="J175" s="150"/>
      <c r="K175" s="154"/>
      <c r="L175" s="258">
        <v>5015.68</v>
      </c>
      <c r="M175" s="308">
        <f>L208</f>
        <v>5015.6828</v>
      </c>
      <c r="N175" s="150"/>
      <c r="O175" s="261">
        <f t="shared" si="56"/>
        <v>-100</v>
      </c>
      <c r="P175" s="52"/>
      <c r="Q175" s="53">
        <f t="shared" si="57"/>
        <v>-100</v>
      </c>
      <c r="R175" s="52"/>
      <c r="S175" s="53">
        <f t="shared" si="60"/>
        <v>-100</v>
      </c>
      <c r="T175" s="53">
        <f t="shared" si="58"/>
        <v>-100</v>
      </c>
      <c r="U175" s="14"/>
      <c r="V175" s="14">
        <f t="shared" si="59"/>
        <v>-100</v>
      </c>
      <c r="W175" s="46"/>
    </row>
    <row r="176" spans="1:23" ht="12.75">
      <c r="A176" s="78"/>
      <c r="B176" s="262" t="s">
        <v>147</v>
      </c>
      <c r="C176" s="80"/>
      <c r="D176" s="80"/>
      <c r="E176" s="154">
        <v>989.31</v>
      </c>
      <c r="F176" s="43"/>
      <c r="G176" s="43"/>
      <c r="H176" s="43"/>
      <c r="I176" s="80"/>
      <c r="J176" s="150"/>
      <c r="K176" s="154"/>
      <c r="L176" s="258">
        <v>759.5</v>
      </c>
      <c r="M176" s="308">
        <f>L209</f>
        <v>759.4959999999999</v>
      </c>
      <c r="N176" s="150"/>
      <c r="O176" s="261">
        <f t="shared" si="56"/>
        <v>-100</v>
      </c>
      <c r="P176" s="52"/>
      <c r="Q176" s="53">
        <f t="shared" si="57"/>
        <v>-100</v>
      </c>
      <c r="R176" s="52"/>
      <c r="S176" s="53">
        <f t="shared" si="60"/>
        <v>-100</v>
      </c>
      <c r="T176" s="53">
        <f t="shared" si="58"/>
        <v>-100</v>
      </c>
      <c r="U176" s="14"/>
      <c r="V176" s="14">
        <f t="shared" si="59"/>
        <v>-100</v>
      </c>
      <c r="W176" s="46"/>
    </row>
    <row r="177" spans="1:23" ht="15" customHeight="1">
      <c r="A177" s="82" t="s">
        <v>148</v>
      </c>
      <c r="B177" s="262" t="s">
        <v>178</v>
      </c>
      <c r="C177" s="80"/>
      <c r="D177" s="80">
        <v>0</v>
      </c>
      <c r="E177" s="154"/>
      <c r="F177" s="43"/>
      <c r="G177" s="43"/>
      <c r="H177" s="43"/>
      <c r="I177" s="80"/>
      <c r="J177" s="150"/>
      <c r="K177" s="154"/>
      <c r="L177" s="258"/>
      <c r="M177" s="308">
        <f>L210</f>
        <v>0</v>
      </c>
      <c r="N177" s="150"/>
      <c r="O177" s="261">
        <f t="shared" si="56"/>
        <v>-100</v>
      </c>
      <c r="P177" s="45"/>
      <c r="Q177" s="53">
        <f t="shared" si="57"/>
        <v>-100</v>
      </c>
      <c r="R177" s="52"/>
      <c r="S177" s="53">
        <f t="shared" si="60"/>
        <v>-100</v>
      </c>
      <c r="T177" s="53">
        <f t="shared" si="58"/>
        <v>-100</v>
      </c>
      <c r="U177" s="14"/>
      <c r="V177" s="14">
        <f t="shared" si="59"/>
        <v>-100</v>
      </c>
      <c r="W177" s="256">
        <f>N177*M177/1000</f>
        <v>0</v>
      </c>
    </row>
    <row r="178" spans="1:23" ht="15" customHeight="1">
      <c r="A178" s="83" t="s">
        <v>150</v>
      </c>
      <c r="B178" s="262" t="s">
        <v>151</v>
      </c>
      <c r="C178" s="80">
        <v>15600</v>
      </c>
      <c r="D178" s="80"/>
      <c r="E178" s="154">
        <v>1231.71</v>
      </c>
      <c r="F178" s="43">
        <v>15600</v>
      </c>
      <c r="G178" s="43"/>
      <c r="H178" s="43">
        <v>15600</v>
      </c>
      <c r="I178" s="80"/>
      <c r="J178" s="150">
        <v>942.98</v>
      </c>
      <c r="K178" s="154">
        <v>972.8</v>
      </c>
      <c r="L178" s="259">
        <v>5663.2</v>
      </c>
      <c r="M178" s="308">
        <f>L211</f>
        <v>5663.2</v>
      </c>
      <c r="N178" s="150"/>
      <c r="O178" s="261">
        <f t="shared" si="56"/>
        <v>-100</v>
      </c>
      <c r="P178" s="45"/>
      <c r="Q178" s="53"/>
      <c r="R178" s="52"/>
      <c r="S178" s="53"/>
      <c r="T178" s="53"/>
      <c r="U178" s="14"/>
      <c r="V178" s="14"/>
      <c r="W178" s="256">
        <f>N178*M178/1000</f>
        <v>0</v>
      </c>
    </row>
    <row r="179" spans="1:24" s="35" customFormat="1" ht="15" customHeight="1">
      <c r="A179" s="84">
        <v>3</v>
      </c>
      <c r="B179" s="260" t="s">
        <v>152</v>
      </c>
      <c r="C179" s="80"/>
      <c r="D179" s="77"/>
      <c r="E179" s="153"/>
      <c r="F179" s="47"/>
      <c r="G179" s="47"/>
      <c r="H179" s="77"/>
      <c r="I179" s="77"/>
      <c r="J179" s="61"/>
      <c r="K179" s="153"/>
      <c r="L179" s="258"/>
      <c r="M179" s="308">
        <f>L212</f>
        <v>0</v>
      </c>
      <c r="N179" s="150"/>
      <c r="O179" s="261">
        <f t="shared" si="56"/>
        <v>-100</v>
      </c>
      <c r="P179" s="45"/>
      <c r="Q179" s="46">
        <f>P179/(J179+1E-101)*100-100</f>
        <v>-100</v>
      </c>
      <c r="R179" s="45"/>
      <c r="S179" s="46">
        <f t="shared" si="60"/>
        <v>-100</v>
      </c>
      <c r="T179" s="46">
        <f>R179/(J179+1E-101)*100-100</f>
        <v>-100</v>
      </c>
      <c r="U179" s="6"/>
      <c r="V179" s="6">
        <f>U179/(J179+1E-101)*100-100</f>
        <v>-100</v>
      </c>
      <c r="W179" s="256">
        <f>N179*M179/1000</f>
        <v>0</v>
      </c>
      <c r="X179" s="55"/>
    </row>
    <row r="180" spans="1:24" s="21" customFormat="1" ht="15.75" customHeight="1">
      <c r="A180" s="12"/>
      <c r="B180" s="263" t="s">
        <v>153</v>
      </c>
      <c r="C180" s="87">
        <f>C169+C173+C179</f>
        <v>15600</v>
      </c>
      <c r="D180" s="87">
        <f>D169+D173+D179</f>
        <v>0</v>
      </c>
      <c r="E180" s="122">
        <f>D161</f>
        <v>736.7346279893709</v>
      </c>
      <c r="F180" s="87">
        <f>F169+F173+F179</f>
        <v>15600</v>
      </c>
      <c r="G180" s="87">
        <f>G169+G173+G179</f>
        <v>0</v>
      </c>
      <c r="H180" s="87">
        <f>H169+H173+H179</f>
        <v>15600</v>
      </c>
      <c r="I180" s="87">
        <f>I169+I173+I179</f>
        <v>0</v>
      </c>
      <c r="J180" s="122">
        <f>F161</f>
        <v>780.9391796743204</v>
      </c>
      <c r="K180" s="122">
        <f>H161</f>
        <v>824.4061096745476</v>
      </c>
      <c r="L180" s="87">
        <f>L169+L173+L179</f>
        <v>11955.78</v>
      </c>
      <c r="M180" s="87">
        <f>M169+M173+M179</f>
        <v>11955.778799999998</v>
      </c>
      <c r="N180" s="254">
        <f>L161</f>
        <v>1071.8480380390783</v>
      </c>
      <c r="O180" s="264">
        <f t="shared" si="56"/>
        <v>30.014567512389476</v>
      </c>
      <c r="P180" s="87">
        <f aca="true" t="shared" si="62" ref="P180:V180">P169+P173+P177+P179</f>
        <v>0</v>
      </c>
      <c r="Q180" s="87">
        <f t="shared" si="62"/>
        <v>-400</v>
      </c>
      <c r="R180" s="87">
        <f t="shared" si="62"/>
        <v>0</v>
      </c>
      <c r="S180" s="87">
        <f t="shared" si="62"/>
        <v>-400</v>
      </c>
      <c r="T180" s="87">
        <f t="shared" si="62"/>
        <v>-400</v>
      </c>
      <c r="U180" s="87">
        <f t="shared" si="62"/>
        <v>0</v>
      </c>
      <c r="V180" s="87">
        <f t="shared" si="62"/>
        <v>-400</v>
      </c>
      <c r="W180" s="255">
        <f>W169+W174+W177+W178+W179</f>
        <v>0</v>
      </c>
      <c r="X180" s="169"/>
    </row>
    <row r="181" spans="1:24" s="21" customFormat="1" ht="21" customHeight="1">
      <c r="A181" s="249"/>
      <c r="B181" s="338" t="s">
        <v>209</v>
      </c>
      <c r="C181" s="339"/>
      <c r="D181" s="340"/>
      <c r="E181" s="250">
        <f>(E169*C169+E174*C174+E177*C177+E178*C178+E179*C179)/1000</f>
        <v>19214.676</v>
      </c>
      <c r="F181" s="177" t="s">
        <v>67</v>
      </c>
      <c r="G181" s="250"/>
      <c r="H181" s="177" t="s">
        <v>67</v>
      </c>
      <c r="I181" s="177" t="s">
        <v>67</v>
      </c>
      <c r="J181" s="122">
        <f>(J169*F169+J174*F174+J177*F177+J178*F178+J179*F179)/1000</f>
        <v>14710.488</v>
      </c>
      <c r="K181" s="122">
        <f>(K169*I169+K174*I174+K177*I177+K178*I178+K179*I179)/1000</f>
        <v>0</v>
      </c>
      <c r="L181" s="177" t="s">
        <v>67</v>
      </c>
      <c r="M181" s="177" t="s">
        <v>67</v>
      </c>
      <c r="N181" s="122">
        <f>(N169*M169+N174*M174+N177*M177+N178*M178+N179*M179)/1000</f>
        <v>0</v>
      </c>
      <c r="O181" s="177" t="s">
        <v>67</v>
      </c>
      <c r="P181" s="177" t="s">
        <v>67</v>
      </c>
      <c r="Q181" s="177" t="s">
        <v>67</v>
      </c>
      <c r="R181" s="177" t="s">
        <v>67</v>
      </c>
      <c r="S181" s="177" t="s">
        <v>67</v>
      </c>
      <c r="T181" s="177" t="s">
        <v>67</v>
      </c>
      <c r="U181" s="177" t="s">
        <v>67</v>
      </c>
      <c r="V181" s="177" t="s">
        <v>67</v>
      </c>
      <c r="W181" s="177" t="s">
        <v>67</v>
      </c>
      <c r="X181" s="169"/>
    </row>
    <row r="182" spans="1:24" s="21" customFormat="1" ht="15.75" customHeight="1">
      <c r="A182" s="249"/>
      <c r="B182" s="338" t="s">
        <v>210</v>
      </c>
      <c r="C182" s="339"/>
      <c r="D182" s="340"/>
      <c r="E182" s="250">
        <f>(E169*D169+E174*D174+E177*D177+E178*D178+E179*D179)/1000</f>
        <v>0</v>
      </c>
      <c r="F182" s="177" t="s">
        <v>67</v>
      </c>
      <c r="G182" s="250">
        <f>(J169*G169+J174*G174+J177*G177+J178*G178+J179*G179)/1000</f>
        <v>0</v>
      </c>
      <c r="H182" s="177" t="s">
        <v>67</v>
      </c>
      <c r="I182" s="177" t="s">
        <v>67</v>
      </c>
      <c r="J182" s="177" t="s">
        <v>67</v>
      </c>
      <c r="K182" s="177" t="s">
        <v>67</v>
      </c>
      <c r="L182" s="177" t="s">
        <v>67</v>
      </c>
      <c r="M182" s="177" t="s">
        <v>67</v>
      </c>
      <c r="N182" s="155"/>
      <c r="O182" s="177" t="s">
        <v>67</v>
      </c>
      <c r="P182" s="177" t="s">
        <v>67</v>
      </c>
      <c r="Q182" s="177" t="s">
        <v>67</v>
      </c>
      <c r="R182" s="177" t="s">
        <v>67</v>
      </c>
      <c r="S182" s="177" t="s">
        <v>67</v>
      </c>
      <c r="T182" s="177" t="s">
        <v>67</v>
      </c>
      <c r="U182" s="177" t="s">
        <v>67</v>
      </c>
      <c r="V182" s="177" t="s">
        <v>67</v>
      </c>
      <c r="W182" s="177" t="s">
        <v>67</v>
      </c>
      <c r="X182" s="169"/>
    </row>
    <row r="183" spans="1:23" ht="27" customHeight="1">
      <c r="A183" s="172"/>
      <c r="B183" s="338" t="s">
        <v>204</v>
      </c>
      <c r="C183" s="339"/>
      <c r="D183" s="340"/>
      <c r="E183" s="232">
        <f>D160-E181</f>
        <v>-7721.615803365812</v>
      </c>
      <c r="F183" s="177" t="s">
        <v>67</v>
      </c>
      <c r="G183" s="177" t="s">
        <v>67</v>
      </c>
      <c r="H183" s="177" t="s">
        <v>67</v>
      </c>
      <c r="I183" s="177" t="s">
        <v>67</v>
      </c>
      <c r="J183" s="232">
        <f>F160-J181</f>
        <v>-2527.836797080601</v>
      </c>
      <c r="K183" s="232">
        <f>H160-K181</f>
        <v>12860.73531092294</v>
      </c>
      <c r="L183" s="177" t="s">
        <v>67</v>
      </c>
      <c r="M183" s="177" t="s">
        <v>67</v>
      </c>
      <c r="N183" s="250">
        <f>L160-N181</f>
        <v>12814.778050009203</v>
      </c>
      <c r="O183" s="177" t="s">
        <v>67</v>
      </c>
      <c r="P183" s="177" t="s">
        <v>67</v>
      </c>
      <c r="Q183" s="177" t="s">
        <v>67</v>
      </c>
      <c r="R183" s="177" t="s">
        <v>67</v>
      </c>
      <c r="S183" s="177" t="s">
        <v>67</v>
      </c>
      <c r="T183" s="177" t="s">
        <v>67</v>
      </c>
      <c r="U183" s="177" t="s">
        <v>67</v>
      </c>
      <c r="V183" s="177" t="s">
        <v>67</v>
      </c>
      <c r="W183" s="177" t="s">
        <v>67</v>
      </c>
    </row>
    <row r="184" spans="1:23" ht="16.5" customHeight="1">
      <c r="A184" s="173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3"/>
      <c r="Q184" s="173"/>
      <c r="R184" s="173"/>
      <c r="S184" s="173"/>
      <c r="T184" s="173"/>
      <c r="U184" s="173"/>
      <c r="V184" s="173"/>
      <c r="W184" s="175"/>
    </row>
    <row r="185" spans="1:23" ht="30" customHeight="1">
      <c r="A185" s="365" t="s">
        <v>154</v>
      </c>
      <c r="B185" s="365"/>
      <c r="C185" s="365"/>
      <c r="D185" s="365"/>
      <c r="E185" s="365"/>
      <c r="F185" s="365"/>
      <c r="G185" s="365"/>
      <c r="H185" s="365"/>
      <c r="I185" s="365"/>
      <c r="J185" s="365"/>
      <c r="K185" s="89"/>
      <c r="L185" s="90"/>
      <c r="M185" s="91"/>
      <c r="N185" s="378" t="s">
        <v>155</v>
      </c>
      <c r="O185" s="378"/>
      <c r="P185" s="378"/>
      <c r="Q185" s="378"/>
      <c r="R185" s="378"/>
      <c r="S185" s="378"/>
      <c r="T185" s="378"/>
      <c r="U185" s="378"/>
      <c r="V185" s="378"/>
      <c r="W185" s="378"/>
    </row>
    <row r="186" spans="1:23" s="54" customFormat="1" ht="5.25" customHeight="1" hidden="1">
      <c r="A186" s="132"/>
      <c r="B186" s="133"/>
      <c r="C186" s="144"/>
      <c r="D186" s="92"/>
      <c r="E186" s="100"/>
      <c r="F186" s="134"/>
      <c r="G186" s="134"/>
      <c r="H186" s="90"/>
      <c r="I186" s="90"/>
      <c r="J186" s="90"/>
      <c r="K186" s="90"/>
      <c r="L186" s="90"/>
      <c r="M186" s="91"/>
      <c r="N186" s="99"/>
      <c r="O186" s="99"/>
      <c r="P186" s="135"/>
      <c r="Q186" s="135"/>
      <c r="R186" s="135"/>
      <c r="S186" s="136"/>
      <c r="T186" s="135"/>
      <c r="U186" s="135"/>
      <c r="V186" s="135"/>
      <c r="W186" s="99"/>
    </row>
    <row r="187" spans="1:23" ht="6.75" customHeight="1" hidden="1">
      <c r="A187" s="95"/>
      <c r="B187" s="95"/>
      <c r="C187" s="144"/>
      <c r="D187" s="92"/>
      <c r="E187" s="100"/>
      <c r="F187" s="90"/>
      <c r="G187" s="90"/>
      <c r="H187" s="96"/>
      <c r="I187" s="96"/>
      <c r="J187" s="97"/>
      <c r="K187" s="97"/>
      <c r="L187" s="90"/>
      <c r="M187" s="91"/>
      <c r="N187" s="98"/>
      <c r="O187" s="98"/>
      <c r="P187" s="93"/>
      <c r="Q187" s="93"/>
      <c r="R187" s="93"/>
      <c r="S187" s="94"/>
      <c r="T187" s="93"/>
      <c r="U187" s="93"/>
      <c r="V187" s="93"/>
      <c r="W187" s="98"/>
    </row>
    <row r="188" spans="1:23" ht="30.75" customHeight="1">
      <c r="A188" s="365" t="s">
        <v>156</v>
      </c>
      <c r="B188" s="365"/>
      <c r="C188" s="365"/>
      <c r="D188" s="365"/>
      <c r="E188" s="365"/>
      <c r="F188" s="90"/>
      <c r="G188" s="90"/>
      <c r="H188" s="366"/>
      <c r="I188" s="366"/>
      <c r="J188" s="366"/>
      <c r="K188" s="90"/>
      <c r="L188" s="90"/>
      <c r="M188" s="91"/>
      <c r="N188" s="379" t="s">
        <v>157</v>
      </c>
      <c r="O188" s="379"/>
      <c r="P188" s="379"/>
      <c r="Q188" s="379"/>
      <c r="R188" s="379"/>
      <c r="S188" s="379"/>
      <c r="T188" s="379"/>
      <c r="U188" s="379"/>
      <c r="V188" s="379"/>
      <c r="W188" s="379"/>
    </row>
    <row r="189" spans="1:23" ht="6" customHeight="1" hidden="1">
      <c r="A189" s="88"/>
      <c r="B189" s="92"/>
      <c r="C189" s="144"/>
      <c r="D189" s="92"/>
      <c r="E189" s="100"/>
      <c r="F189" s="90"/>
      <c r="G189" s="90"/>
      <c r="H189" s="90"/>
      <c r="I189" s="90"/>
      <c r="J189" s="90"/>
      <c r="K189" s="90"/>
      <c r="L189" s="90"/>
      <c r="M189" s="91"/>
      <c r="N189" s="99"/>
      <c r="O189" s="99"/>
      <c r="P189" s="93"/>
      <c r="Q189" s="93"/>
      <c r="R189" s="93"/>
      <c r="S189" s="94"/>
      <c r="T189" s="93"/>
      <c r="U189" s="93"/>
      <c r="V189" s="93"/>
      <c r="W189" s="99"/>
    </row>
    <row r="190" spans="1:23" ht="15" customHeight="1" hidden="1">
      <c r="A190" s="88"/>
      <c r="B190" s="92"/>
      <c r="C190" s="144"/>
      <c r="D190" s="100"/>
      <c r="E190" s="100"/>
      <c r="F190" s="90"/>
      <c r="G190" s="90"/>
      <c r="H190" s="90"/>
      <c r="I190" s="90"/>
      <c r="J190" s="90"/>
      <c r="K190" s="91"/>
      <c r="L190" s="101"/>
      <c r="M190" s="101"/>
      <c r="N190" s="99"/>
      <c r="O190" s="102"/>
      <c r="P190" s="93"/>
      <c r="Q190" s="93"/>
      <c r="R190" s="93"/>
      <c r="S190" s="94"/>
      <c r="T190" s="93"/>
      <c r="U190" s="93"/>
      <c r="V190" s="93"/>
      <c r="W190" s="102"/>
    </row>
    <row r="191" spans="1:23" ht="15.75" customHeight="1" hidden="1">
      <c r="A191" s="88"/>
      <c r="B191" s="92"/>
      <c r="C191" s="144"/>
      <c r="D191" s="100"/>
      <c r="E191" s="100"/>
      <c r="F191" s="90"/>
      <c r="G191" s="90"/>
      <c r="H191" s="90"/>
      <c r="I191" s="90"/>
      <c r="J191" s="90"/>
      <c r="K191" s="91"/>
      <c r="L191" s="101"/>
      <c r="M191" s="101"/>
      <c r="N191" s="99"/>
      <c r="O191" s="102"/>
      <c r="P191" s="93"/>
      <c r="Q191" s="93"/>
      <c r="R191" s="93"/>
      <c r="S191" s="94"/>
      <c r="T191" s="93"/>
      <c r="U191" s="93"/>
      <c r="V191" s="93"/>
      <c r="W191" s="102"/>
    </row>
    <row r="192" spans="1:23" ht="35.25" customHeight="1">
      <c r="A192" s="365" t="s">
        <v>158</v>
      </c>
      <c r="B192" s="365"/>
      <c r="C192" s="365"/>
      <c r="D192" s="365"/>
      <c r="E192" s="365"/>
      <c r="F192" s="370"/>
      <c r="G192" s="370"/>
      <c r="H192" s="97"/>
      <c r="I192" s="97"/>
      <c r="J192" s="90"/>
      <c r="K192" s="103"/>
      <c r="L192" s="103"/>
      <c r="M192" s="103"/>
      <c r="N192" s="380" t="s">
        <v>208</v>
      </c>
      <c r="O192" s="380"/>
      <c r="P192" s="380"/>
      <c r="Q192" s="380"/>
      <c r="R192" s="380"/>
      <c r="S192" s="380"/>
      <c r="T192" s="380"/>
      <c r="U192" s="380"/>
      <c r="V192" s="380"/>
      <c r="W192" s="380"/>
    </row>
    <row r="193" spans="1:24" s="230" customFormat="1" ht="20.25" customHeight="1">
      <c r="A193" s="398" t="s">
        <v>214</v>
      </c>
      <c r="B193" s="399"/>
      <c r="C193" s="399"/>
      <c r="D193" s="399"/>
      <c r="E193" s="399"/>
      <c r="F193" s="399"/>
      <c r="G193" s="399"/>
      <c r="H193" s="399"/>
      <c r="I193" s="399"/>
      <c r="J193" s="399"/>
      <c r="K193" s="399"/>
      <c r="L193" s="399"/>
      <c r="M193" s="399"/>
      <c r="N193" s="399"/>
      <c r="O193" s="399"/>
      <c r="P193" s="399"/>
      <c r="Q193" s="399"/>
      <c r="R193" s="399"/>
      <c r="S193" s="399"/>
      <c r="T193" s="399"/>
      <c r="U193" s="399"/>
      <c r="V193" s="399"/>
      <c r="W193" s="399"/>
      <c r="X193" s="231"/>
    </row>
    <row r="194" spans="1:23" ht="205.5" customHeight="1" hidden="1">
      <c r="A194" s="107"/>
      <c r="B194" s="108"/>
      <c r="C194" s="146"/>
      <c r="D194" s="104"/>
      <c r="E194" s="109"/>
      <c r="F194" s="109"/>
      <c r="G194" s="109"/>
      <c r="H194" s="109"/>
      <c r="I194" s="109"/>
      <c r="J194" s="105"/>
      <c r="K194"/>
      <c r="L194"/>
      <c r="M194"/>
      <c r="N194"/>
      <c r="O194"/>
      <c r="W194"/>
    </row>
    <row r="195" spans="1:23" ht="12.75" hidden="1">
      <c r="A195" s="110"/>
      <c r="B195" s="110"/>
      <c r="C195" s="145"/>
      <c r="D195" s="111"/>
      <c r="E195" s="111"/>
      <c r="F195" s="111"/>
      <c r="G195" s="111"/>
      <c r="H195" s="111"/>
      <c r="I195" s="111"/>
      <c r="J195" s="111"/>
      <c r="K195" s="112"/>
      <c r="L195"/>
      <c r="M195"/>
      <c r="N195"/>
      <c r="O195"/>
      <c r="W195"/>
    </row>
    <row r="196" spans="1:23" ht="12.75" hidden="1">
      <c r="A196" s="112"/>
      <c r="B196" s="110"/>
      <c r="C196" s="145"/>
      <c r="D196" s="110"/>
      <c r="E196" s="111"/>
      <c r="F196" s="111"/>
      <c r="G196" s="111"/>
      <c r="H196" s="111"/>
      <c r="I196" s="111"/>
      <c r="J196" s="111"/>
      <c r="K196" s="111"/>
      <c r="L196" s="111"/>
      <c r="M196" s="112"/>
      <c r="N196"/>
      <c r="O196"/>
      <c r="W196"/>
    </row>
    <row r="197" spans="1:23" ht="12.75" hidden="1">
      <c r="A197" s="112"/>
      <c r="B197" s="110"/>
      <c r="C197" s="145"/>
      <c r="D197" s="110"/>
      <c r="E197" s="111"/>
      <c r="F197" s="111"/>
      <c r="G197" s="111"/>
      <c r="H197" s="111"/>
      <c r="I197" s="111"/>
      <c r="J197" s="111"/>
      <c r="K197" s="111"/>
      <c r="L197" s="111"/>
      <c r="M197" s="112"/>
      <c r="N197"/>
      <c r="O197"/>
      <c r="W197"/>
    </row>
    <row r="198" spans="1:24" ht="1.5" customHeight="1" hidden="1">
      <c r="A198" s="381" t="s">
        <v>174</v>
      </c>
      <c r="B198" s="381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110"/>
      <c r="X198" s="170"/>
    </row>
    <row r="199" spans="1:24" ht="12.75" hidden="1">
      <c r="A199" s="112"/>
      <c r="B199" s="110"/>
      <c r="C199" s="145"/>
      <c r="D199" s="110"/>
      <c r="E199" s="111"/>
      <c r="F199" s="111"/>
      <c r="G199" s="111"/>
      <c r="H199" s="111"/>
      <c r="I199" s="111"/>
      <c r="J199" s="111"/>
      <c r="K199" s="111"/>
      <c r="L199" s="111"/>
      <c r="M199" s="110"/>
      <c r="N199" s="110"/>
      <c r="O199" s="110"/>
      <c r="W199" s="110"/>
      <c r="X199" s="170"/>
    </row>
    <row r="200" spans="1:33" ht="164.25" customHeight="1">
      <c r="A200" s="309" t="s">
        <v>2</v>
      </c>
      <c r="B200" s="310" t="s">
        <v>133</v>
      </c>
      <c r="C200" s="311" t="s">
        <v>159</v>
      </c>
      <c r="D200" s="312" t="s">
        <v>160</v>
      </c>
      <c r="E200" s="313" t="s">
        <v>161</v>
      </c>
      <c r="F200" s="312" t="s">
        <v>162</v>
      </c>
      <c r="G200" s="314" t="s">
        <v>163</v>
      </c>
      <c r="H200" s="314" t="s">
        <v>164</v>
      </c>
      <c r="I200" s="314" t="s">
        <v>165</v>
      </c>
      <c r="J200" s="315" t="s">
        <v>166</v>
      </c>
      <c r="K200" s="312" t="s">
        <v>167</v>
      </c>
      <c r="L200" s="367" t="s">
        <v>207</v>
      </c>
      <c r="M200" s="367"/>
      <c r="N200" s="367" t="s">
        <v>206</v>
      </c>
      <c r="O200" s="367"/>
      <c r="P200" s="367"/>
      <c r="Q200" s="367"/>
      <c r="R200" s="367"/>
      <c r="S200" s="367"/>
      <c r="T200" s="367"/>
      <c r="U200" s="367"/>
      <c r="V200" s="367"/>
      <c r="W200" s="367"/>
      <c r="X200" s="113"/>
      <c r="Y200" s="113"/>
      <c r="Z200" s="113"/>
      <c r="AA200" s="113"/>
      <c r="AB200" s="113"/>
      <c r="AC200" s="113"/>
      <c r="AD200" s="113"/>
      <c r="AE200" s="336"/>
      <c r="AF200" s="336"/>
      <c r="AG200" s="114"/>
    </row>
    <row r="201" spans="1:33" s="167" customFormat="1" ht="10.5">
      <c r="A201" s="316">
        <v>1</v>
      </c>
      <c r="B201" s="317">
        <v>2</v>
      </c>
      <c r="C201" s="305">
        <v>3</v>
      </c>
      <c r="D201" s="317">
        <v>4</v>
      </c>
      <c r="E201" s="318">
        <v>5</v>
      </c>
      <c r="F201" s="317">
        <v>6</v>
      </c>
      <c r="G201" s="305">
        <v>7</v>
      </c>
      <c r="H201" s="317">
        <v>8</v>
      </c>
      <c r="I201" s="305">
        <v>9</v>
      </c>
      <c r="J201" s="319">
        <v>10</v>
      </c>
      <c r="K201" s="305">
        <v>11</v>
      </c>
      <c r="L201" s="369">
        <v>12</v>
      </c>
      <c r="M201" s="369"/>
      <c r="N201" s="371">
        <v>13</v>
      </c>
      <c r="O201" s="372"/>
      <c r="P201" s="372"/>
      <c r="Q201" s="372"/>
      <c r="R201" s="372"/>
      <c r="S201" s="372"/>
      <c r="T201" s="372"/>
      <c r="U201" s="372"/>
      <c r="V201" s="372"/>
      <c r="W201" s="373"/>
      <c r="X201" s="151"/>
      <c r="Y201" s="151"/>
      <c r="Z201" s="151"/>
      <c r="AA201" s="151"/>
      <c r="AB201" s="151"/>
      <c r="AC201" s="151"/>
      <c r="AD201" s="151"/>
      <c r="AE201" s="337"/>
      <c r="AF201" s="337"/>
      <c r="AG201" s="166"/>
    </row>
    <row r="202" spans="1:33" ht="25.5">
      <c r="A202" s="2">
        <v>1</v>
      </c>
      <c r="B202" s="76" t="s">
        <v>140</v>
      </c>
      <c r="C202" s="147" t="s">
        <v>55</v>
      </c>
      <c r="D202" s="147" t="s">
        <v>55</v>
      </c>
      <c r="E202" s="147" t="s">
        <v>55</v>
      </c>
      <c r="F202" s="147" t="s">
        <v>55</v>
      </c>
      <c r="G202" s="147" t="s">
        <v>55</v>
      </c>
      <c r="H202" s="147" t="s">
        <v>55</v>
      </c>
      <c r="I202" s="147" t="s">
        <v>55</v>
      </c>
      <c r="J202" s="296" t="s">
        <v>55</v>
      </c>
      <c r="K202" s="137" t="s">
        <v>55</v>
      </c>
      <c r="L202" s="368">
        <f>L203+L204+L205</f>
        <v>517.4</v>
      </c>
      <c r="M202" s="368"/>
      <c r="N202" s="374">
        <f>N203+N204+N205</f>
        <v>517.4</v>
      </c>
      <c r="O202" s="375"/>
      <c r="P202" s="375"/>
      <c r="Q202" s="375"/>
      <c r="R202" s="375"/>
      <c r="S202" s="375"/>
      <c r="T202" s="375"/>
      <c r="U202" s="375"/>
      <c r="V202" s="375"/>
      <c r="W202" s="376"/>
      <c r="X202" s="115"/>
      <c r="Y202" s="115"/>
      <c r="Z202" s="115"/>
      <c r="AA202" s="115"/>
      <c r="AB202" s="115"/>
      <c r="AC202" s="115"/>
      <c r="AD202" s="115"/>
      <c r="AE202" s="356"/>
      <c r="AF202" s="356"/>
      <c r="AG202" s="114"/>
    </row>
    <row r="203" spans="1:33" ht="12.75">
      <c r="A203" s="139"/>
      <c r="B203" s="140" t="s">
        <v>141</v>
      </c>
      <c r="C203" s="148" t="s">
        <v>55</v>
      </c>
      <c r="D203" s="148" t="s">
        <v>55</v>
      </c>
      <c r="E203" s="148" t="s">
        <v>55</v>
      </c>
      <c r="F203" s="148" t="s">
        <v>55</v>
      </c>
      <c r="G203" s="148" t="s">
        <v>55</v>
      </c>
      <c r="H203" s="148" t="s">
        <v>55</v>
      </c>
      <c r="I203" s="148" t="s">
        <v>55</v>
      </c>
      <c r="J203" s="297" t="s">
        <v>55</v>
      </c>
      <c r="K203" s="137" t="s">
        <v>55</v>
      </c>
      <c r="L203" s="359"/>
      <c r="M203" s="359"/>
      <c r="N203" s="391"/>
      <c r="O203" s="392"/>
      <c r="P203" s="392"/>
      <c r="Q203" s="392"/>
      <c r="R203" s="392"/>
      <c r="S203" s="392"/>
      <c r="T203" s="392"/>
      <c r="U203" s="392"/>
      <c r="V203" s="392"/>
      <c r="W203" s="393"/>
      <c r="X203" s="115"/>
      <c r="Y203" s="115"/>
      <c r="Z203" s="115"/>
      <c r="AA203" s="115"/>
      <c r="AB203" s="115"/>
      <c r="AC203" s="115"/>
      <c r="AD203" s="115"/>
      <c r="AE203" s="357"/>
      <c r="AF203" s="357"/>
      <c r="AG203" s="114"/>
    </row>
    <row r="204" spans="1:33" ht="12.75">
      <c r="A204" s="78"/>
      <c r="B204" s="79" t="s">
        <v>142</v>
      </c>
      <c r="C204" s="137" t="s">
        <v>55</v>
      </c>
      <c r="D204" s="137" t="s">
        <v>55</v>
      </c>
      <c r="E204" s="137" t="s">
        <v>55</v>
      </c>
      <c r="F204" s="137" t="s">
        <v>55</v>
      </c>
      <c r="G204" s="137" t="s">
        <v>55</v>
      </c>
      <c r="H204" s="137" t="s">
        <v>55</v>
      </c>
      <c r="I204" s="137" t="s">
        <v>55</v>
      </c>
      <c r="J204" s="295" t="s">
        <v>55</v>
      </c>
      <c r="K204" s="137" t="s">
        <v>55</v>
      </c>
      <c r="L204" s="359"/>
      <c r="M204" s="359"/>
      <c r="N204" s="391">
        <v>0</v>
      </c>
      <c r="O204" s="392"/>
      <c r="P204" s="392"/>
      <c r="Q204" s="392"/>
      <c r="R204" s="392"/>
      <c r="S204" s="392"/>
      <c r="T204" s="392"/>
      <c r="U204" s="392"/>
      <c r="V204" s="392"/>
      <c r="W204" s="393"/>
      <c r="X204" s="115"/>
      <c r="Y204" s="115"/>
      <c r="Z204" s="115"/>
      <c r="AA204" s="115"/>
      <c r="AB204" s="115"/>
      <c r="AC204" s="115"/>
      <c r="AD204" s="115"/>
      <c r="AE204" s="357"/>
      <c r="AF204" s="357"/>
      <c r="AG204" s="114"/>
    </row>
    <row r="205" spans="1:33" ht="12.75">
      <c r="A205" s="78"/>
      <c r="B205" s="81" t="s">
        <v>143</v>
      </c>
      <c r="C205" s="137" t="s">
        <v>55</v>
      </c>
      <c r="D205" s="137" t="s">
        <v>55</v>
      </c>
      <c r="E205" s="137" t="s">
        <v>55</v>
      </c>
      <c r="F205" s="137" t="s">
        <v>55</v>
      </c>
      <c r="G205" s="137" t="s">
        <v>55</v>
      </c>
      <c r="H205" s="137" t="s">
        <v>55</v>
      </c>
      <c r="I205" s="137" t="s">
        <v>55</v>
      </c>
      <c r="J205" s="295" t="s">
        <v>55</v>
      </c>
      <c r="K205" s="137" t="s">
        <v>55</v>
      </c>
      <c r="L205" s="360">
        <v>517.4</v>
      </c>
      <c r="M205" s="360"/>
      <c r="N205" s="391">
        <v>517.4</v>
      </c>
      <c r="O205" s="392"/>
      <c r="P205" s="392"/>
      <c r="Q205" s="392"/>
      <c r="R205" s="392"/>
      <c r="S205" s="392"/>
      <c r="T205" s="392"/>
      <c r="U205" s="392"/>
      <c r="V205" s="392"/>
      <c r="W205" s="393"/>
      <c r="X205" s="115"/>
      <c r="Y205" s="115"/>
      <c r="Z205" s="115"/>
      <c r="AA205" s="115"/>
      <c r="AB205" s="115"/>
      <c r="AC205" s="115"/>
      <c r="AD205" s="115"/>
      <c r="AE205" s="357"/>
      <c r="AF205" s="357"/>
      <c r="AG205" s="114"/>
    </row>
    <row r="206" spans="1:33" ht="14.25" customHeight="1">
      <c r="A206" s="75">
        <v>2</v>
      </c>
      <c r="B206" s="76" t="s">
        <v>151</v>
      </c>
      <c r="C206" s="43"/>
      <c r="D206" s="137"/>
      <c r="E206" s="137"/>
      <c r="F206" s="137"/>
      <c r="G206" s="137"/>
      <c r="H206" s="137"/>
      <c r="I206" s="137"/>
      <c r="J206" s="137"/>
      <c r="K206" s="137"/>
      <c r="L206" s="362">
        <f>L208+L209+L210+L211</f>
        <v>11438.378799999999</v>
      </c>
      <c r="M206" s="362"/>
      <c r="N206" s="374">
        <f>N207+N211</f>
        <v>11438.380000000001</v>
      </c>
      <c r="O206" s="375"/>
      <c r="P206" s="375"/>
      <c r="Q206" s="375"/>
      <c r="R206" s="375"/>
      <c r="S206" s="375"/>
      <c r="T206" s="375"/>
      <c r="U206" s="375"/>
      <c r="V206" s="375"/>
      <c r="W206" s="376"/>
      <c r="X206" s="115"/>
      <c r="Y206" s="115"/>
      <c r="Z206" s="115"/>
      <c r="AA206" s="115"/>
      <c r="AB206" s="115"/>
      <c r="AC206" s="115"/>
      <c r="AD206" s="115"/>
      <c r="AE206" s="116"/>
      <c r="AF206" s="116"/>
      <c r="AG206" s="114"/>
    </row>
    <row r="207" spans="1:33" ht="14.25" customHeight="1">
      <c r="A207" s="78" t="s">
        <v>144</v>
      </c>
      <c r="B207" s="81" t="s">
        <v>145</v>
      </c>
      <c r="C207" s="123">
        <f>C208+C209</f>
        <v>3647.4288</v>
      </c>
      <c r="D207" s="320">
        <f aca="true" t="shared" si="63" ref="D207:K207">D208+D209</f>
        <v>0.624</v>
      </c>
      <c r="E207" s="137">
        <f t="shared" si="63"/>
        <v>13113.800000000001</v>
      </c>
      <c r="F207" s="123">
        <f t="shared" si="63"/>
        <v>2042.6</v>
      </c>
      <c r="G207" s="123">
        <f t="shared" si="63"/>
        <v>40.95</v>
      </c>
      <c r="H207" s="320">
        <f t="shared" si="63"/>
        <v>0.05</v>
      </c>
      <c r="I207" s="320">
        <f t="shared" si="63"/>
        <v>7</v>
      </c>
      <c r="J207" s="320">
        <f t="shared" si="63"/>
        <v>117</v>
      </c>
      <c r="K207" s="123">
        <f t="shared" si="63"/>
        <v>44.2</v>
      </c>
      <c r="L207" s="361">
        <f>C207+F207+G207+K207</f>
        <v>5775.1788</v>
      </c>
      <c r="M207" s="361"/>
      <c r="N207" s="400">
        <f>N208+N209</f>
        <v>5775.18</v>
      </c>
      <c r="O207" s="401"/>
      <c r="P207" s="401"/>
      <c r="Q207" s="401"/>
      <c r="R207" s="401"/>
      <c r="S207" s="401"/>
      <c r="T207" s="401"/>
      <c r="U207" s="401"/>
      <c r="V207" s="401"/>
      <c r="W207" s="402"/>
      <c r="X207" s="115"/>
      <c r="Y207" s="115"/>
      <c r="Z207" s="115"/>
      <c r="AA207" s="115"/>
      <c r="AB207" s="115"/>
      <c r="AC207" s="115"/>
      <c r="AD207" s="115"/>
      <c r="AE207" s="116"/>
      <c r="AF207" s="116"/>
      <c r="AG207" s="114"/>
    </row>
    <row r="208" spans="1:33" ht="21.75" customHeight="1">
      <c r="A208" s="78"/>
      <c r="B208" s="81" t="s">
        <v>146</v>
      </c>
      <c r="C208" s="156">
        <f>D208*E208</f>
        <v>2952.2328</v>
      </c>
      <c r="D208" s="43">
        <v>0.264</v>
      </c>
      <c r="E208" s="118">
        <v>11182.7</v>
      </c>
      <c r="F208" s="157">
        <v>1978.3</v>
      </c>
      <c r="G208" s="158">
        <f>H208*I208*J208</f>
        <v>40.95</v>
      </c>
      <c r="H208" s="117">
        <v>0.05</v>
      </c>
      <c r="I208" s="117">
        <v>7</v>
      </c>
      <c r="J208" s="118">
        <v>117</v>
      </c>
      <c r="K208" s="157">
        <v>44.2</v>
      </c>
      <c r="L208" s="361">
        <f>C208+F208+G208+K208</f>
        <v>5015.6828</v>
      </c>
      <c r="M208" s="361"/>
      <c r="N208" s="403">
        <v>5015.68</v>
      </c>
      <c r="O208" s="404"/>
      <c r="P208" s="404"/>
      <c r="Q208" s="404"/>
      <c r="R208" s="404"/>
      <c r="S208" s="404"/>
      <c r="T208" s="404"/>
      <c r="U208" s="404"/>
      <c r="V208" s="404"/>
      <c r="W208" s="405"/>
      <c r="X208" s="119"/>
      <c r="Y208" s="120"/>
      <c r="Z208" s="121"/>
      <c r="AA208" s="119"/>
      <c r="AB208" s="119"/>
      <c r="AC208" s="119"/>
      <c r="AD208" s="120"/>
      <c r="AE208" s="356"/>
      <c r="AF208" s="356"/>
      <c r="AG208" s="114"/>
    </row>
    <row r="209" spans="1:33" ht="12.75">
      <c r="A209" s="78"/>
      <c r="B209" s="81" t="s">
        <v>147</v>
      </c>
      <c r="C209" s="156">
        <f>D209*E209</f>
        <v>695.1959999999999</v>
      </c>
      <c r="D209" s="154">
        <v>0.36</v>
      </c>
      <c r="E209" s="150">
        <v>1931.1</v>
      </c>
      <c r="F209" s="157">
        <v>64.3</v>
      </c>
      <c r="G209" s="158">
        <f>H209*I209*J209</f>
        <v>0</v>
      </c>
      <c r="H209" s="150">
        <v>0</v>
      </c>
      <c r="I209" s="150">
        <v>0</v>
      </c>
      <c r="J209" s="150">
        <v>0</v>
      </c>
      <c r="K209" s="157">
        <v>0</v>
      </c>
      <c r="L209" s="361">
        <f>C209+F209+G209+K209</f>
        <v>759.4959999999999</v>
      </c>
      <c r="M209" s="361"/>
      <c r="N209" s="403">
        <v>759.5</v>
      </c>
      <c r="O209" s="404"/>
      <c r="P209" s="404"/>
      <c r="Q209" s="404"/>
      <c r="R209" s="404"/>
      <c r="S209" s="404"/>
      <c r="T209" s="404"/>
      <c r="U209" s="404"/>
      <c r="V209" s="404"/>
      <c r="W209" s="405"/>
      <c r="X209" s="119"/>
      <c r="Y209" s="120"/>
      <c r="Z209" s="121"/>
      <c r="AA209" s="119"/>
      <c r="AB209" s="119"/>
      <c r="AC209" s="119"/>
      <c r="AD209" s="120"/>
      <c r="AE209" s="356"/>
      <c r="AF209" s="356"/>
      <c r="AG209" s="114"/>
    </row>
    <row r="210" spans="1:33" ht="25.5">
      <c r="A210" s="82" t="s">
        <v>148</v>
      </c>
      <c r="B210" s="81" t="s">
        <v>149</v>
      </c>
      <c r="C210" s="137" t="s">
        <v>55</v>
      </c>
      <c r="D210" s="137" t="s">
        <v>55</v>
      </c>
      <c r="E210" s="137" t="s">
        <v>55</v>
      </c>
      <c r="F210" s="137" t="s">
        <v>55</v>
      </c>
      <c r="G210" s="137" t="s">
        <v>55</v>
      </c>
      <c r="H210" s="137" t="s">
        <v>55</v>
      </c>
      <c r="I210" s="137" t="s">
        <v>55</v>
      </c>
      <c r="J210" s="137" t="s">
        <v>55</v>
      </c>
      <c r="K210" s="137" t="s">
        <v>55</v>
      </c>
      <c r="L210" s="359">
        <v>0</v>
      </c>
      <c r="M210" s="359"/>
      <c r="N210" s="391"/>
      <c r="O210" s="392"/>
      <c r="P210" s="392"/>
      <c r="Q210" s="392"/>
      <c r="R210" s="392"/>
      <c r="S210" s="392"/>
      <c r="T210" s="392"/>
      <c r="U210" s="392"/>
      <c r="V210" s="392"/>
      <c r="W210" s="393"/>
      <c r="X210" s="115"/>
      <c r="Y210" s="115"/>
      <c r="Z210" s="115"/>
      <c r="AA210" s="115"/>
      <c r="AB210" s="115"/>
      <c r="AC210" s="115"/>
      <c r="AD210" s="115"/>
      <c r="AE210" s="357"/>
      <c r="AF210" s="357"/>
      <c r="AG210" s="114"/>
    </row>
    <row r="211" spans="1:33" ht="25.5">
      <c r="A211" s="83" t="s">
        <v>150</v>
      </c>
      <c r="B211" s="81" t="s">
        <v>151</v>
      </c>
      <c r="C211" s="137" t="s">
        <v>55</v>
      </c>
      <c r="D211" s="137" t="s">
        <v>55</v>
      </c>
      <c r="E211" s="137" t="s">
        <v>55</v>
      </c>
      <c r="F211" s="137" t="s">
        <v>55</v>
      </c>
      <c r="G211" s="137" t="s">
        <v>55</v>
      </c>
      <c r="H211" s="137" t="s">
        <v>55</v>
      </c>
      <c r="I211" s="137" t="s">
        <v>55</v>
      </c>
      <c r="J211" s="137" t="s">
        <v>55</v>
      </c>
      <c r="K211" s="137" t="s">
        <v>55</v>
      </c>
      <c r="L211" s="359">
        <v>5663.2</v>
      </c>
      <c r="M211" s="359"/>
      <c r="N211" s="391">
        <v>5663.2</v>
      </c>
      <c r="O211" s="392"/>
      <c r="P211" s="392"/>
      <c r="Q211" s="392"/>
      <c r="R211" s="392"/>
      <c r="S211" s="392"/>
      <c r="T211" s="392"/>
      <c r="U211" s="392"/>
      <c r="V211" s="392"/>
      <c r="W211" s="393"/>
      <c r="X211" s="115"/>
      <c r="Y211" s="115"/>
      <c r="Z211" s="115"/>
      <c r="AA211" s="115"/>
      <c r="AB211" s="115"/>
      <c r="AC211" s="115"/>
      <c r="AD211" s="115"/>
      <c r="AE211" s="358"/>
      <c r="AF211" s="358"/>
      <c r="AG211" s="114"/>
    </row>
    <row r="212" spans="1:33" ht="25.5">
      <c r="A212" s="84">
        <v>3</v>
      </c>
      <c r="B212" s="76" t="s">
        <v>152</v>
      </c>
      <c r="C212" s="137" t="s">
        <v>55</v>
      </c>
      <c r="D212" s="137" t="s">
        <v>55</v>
      </c>
      <c r="E212" s="137" t="s">
        <v>55</v>
      </c>
      <c r="F212" s="137" t="s">
        <v>55</v>
      </c>
      <c r="G212" s="137" t="s">
        <v>55</v>
      </c>
      <c r="H212" s="137" t="s">
        <v>55</v>
      </c>
      <c r="I212" s="137" t="s">
        <v>55</v>
      </c>
      <c r="J212" s="137" t="s">
        <v>55</v>
      </c>
      <c r="K212" s="137" t="s">
        <v>55</v>
      </c>
      <c r="L212" s="359"/>
      <c r="M212" s="359"/>
      <c r="N212" s="391"/>
      <c r="O212" s="392"/>
      <c r="P212" s="392"/>
      <c r="Q212" s="392"/>
      <c r="R212" s="392"/>
      <c r="S212" s="392"/>
      <c r="T212" s="392"/>
      <c r="U212" s="392"/>
      <c r="V212" s="392"/>
      <c r="W212" s="393"/>
      <c r="X212" s="115"/>
      <c r="Y212" s="115"/>
      <c r="Z212" s="115"/>
      <c r="AA212" s="115"/>
      <c r="AB212" s="115"/>
      <c r="AC212" s="115"/>
      <c r="AD212" s="115"/>
      <c r="AE212" s="358"/>
      <c r="AF212" s="358"/>
      <c r="AG212" s="114"/>
    </row>
    <row r="213" spans="1:33" ht="12.75">
      <c r="A213" s="12"/>
      <c r="B213" s="86" t="s">
        <v>153</v>
      </c>
      <c r="C213" s="123" t="s">
        <v>55</v>
      </c>
      <c r="D213" s="123" t="s">
        <v>55</v>
      </c>
      <c r="E213" s="123" t="s">
        <v>55</v>
      </c>
      <c r="F213" s="123" t="s">
        <v>55</v>
      </c>
      <c r="G213" s="123" t="s">
        <v>55</v>
      </c>
      <c r="H213" s="123" t="s">
        <v>55</v>
      </c>
      <c r="I213" s="122"/>
      <c r="J213" s="123" t="s">
        <v>55</v>
      </c>
      <c r="K213" s="138"/>
      <c r="L213" s="364">
        <f>L202+L206+L212</f>
        <v>11955.778799999998</v>
      </c>
      <c r="M213" s="364"/>
      <c r="N213" s="395">
        <f>N202+N206</f>
        <v>11955.78</v>
      </c>
      <c r="O213" s="396"/>
      <c r="P213" s="396"/>
      <c r="Q213" s="396"/>
      <c r="R213" s="396"/>
      <c r="S213" s="396"/>
      <c r="T213" s="396"/>
      <c r="U213" s="396"/>
      <c r="V213" s="396"/>
      <c r="W213" s="397"/>
      <c r="X213" s="124"/>
      <c r="Y213" s="125"/>
      <c r="Z213" s="125"/>
      <c r="AA213" s="124"/>
      <c r="AB213" s="124"/>
      <c r="AC213" s="124"/>
      <c r="AD213" s="125"/>
      <c r="AE213" s="356"/>
      <c r="AF213" s="356"/>
      <c r="AG213" s="114"/>
    </row>
    <row r="214" spans="1:33" ht="12.75">
      <c r="A214" s="71"/>
      <c r="B214" s="110"/>
      <c r="C214" s="145"/>
      <c r="D214" s="110"/>
      <c r="E214" s="111"/>
      <c r="F214" s="111"/>
      <c r="G214" s="111"/>
      <c r="H214" s="111"/>
      <c r="I214" s="111"/>
      <c r="J214" s="111"/>
      <c r="K214" s="111"/>
      <c r="L214" s="111"/>
      <c r="M214" s="110"/>
      <c r="N214" s="110"/>
      <c r="O214" s="110"/>
      <c r="W214" s="126"/>
      <c r="X214" s="127"/>
      <c r="Y214" s="114"/>
      <c r="Z214" s="114"/>
      <c r="AA214" s="114"/>
      <c r="AB214" s="114"/>
      <c r="AC214" s="114"/>
      <c r="AD214" s="114"/>
      <c r="AE214" s="114"/>
      <c r="AF214" s="114"/>
      <c r="AG214" s="114"/>
    </row>
    <row r="215" spans="1:24" ht="18.75">
      <c r="A215" s="112"/>
      <c r="B215" s="128" t="s">
        <v>168</v>
      </c>
      <c r="C215" s="145"/>
      <c r="D215" s="110"/>
      <c r="E215" s="111"/>
      <c r="F215" s="111"/>
      <c r="G215" s="111"/>
      <c r="H215" s="111"/>
      <c r="I215" s="111"/>
      <c r="J215" s="111"/>
      <c r="K215" s="111"/>
      <c r="L215" s="111"/>
      <c r="M215" s="110"/>
      <c r="N215" s="110"/>
      <c r="O215" s="110"/>
      <c r="W215" s="110"/>
      <c r="X215" s="170"/>
    </row>
    <row r="216" spans="1:24" ht="12.75" hidden="1">
      <c r="A216" s="112"/>
      <c r="B216" s="110"/>
      <c r="C216" s="145"/>
      <c r="D216" s="110"/>
      <c r="E216" s="111"/>
      <c r="F216" s="111"/>
      <c r="G216" s="111"/>
      <c r="H216" s="111"/>
      <c r="I216" s="111"/>
      <c r="J216" s="111"/>
      <c r="K216" s="111"/>
      <c r="L216" s="111"/>
      <c r="M216" s="110"/>
      <c r="N216" s="110"/>
      <c r="O216" s="110"/>
      <c r="W216" s="110"/>
      <c r="X216" s="170"/>
    </row>
    <row r="217" spans="1:24" ht="12.75" hidden="1">
      <c r="A217" s="112"/>
      <c r="B217" s="110"/>
      <c r="C217" s="145"/>
      <c r="D217" s="110"/>
      <c r="E217" s="111"/>
      <c r="F217" s="111"/>
      <c r="G217" s="111"/>
      <c r="H217" s="111"/>
      <c r="I217" s="111"/>
      <c r="J217" s="111"/>
      <c r="K217" s="111"/>
      <c r="L217" s="111"/>
      <c r="M217" s="110"/>
      <c r="N217" s="110"/>
      <c r="O217" s="110"/>
      <c r="W217" s="110"/>
      <c r="X217" s="170"/>
    </row>
    <row r="218" spans="1:24" ht="12.75" hidden="1">
      <c r="A218" s="112"/>
      <c r="B218" s="110"/>
      <c r="C218" s="145"/>
      <c r="D218" s="110"/>
      <c r="E218" s="111"/>
      <c r="F218" s="111"/>
      <c r="G218" s="111"/>
      <c r="H218" s="111"/>
      <c r="I218" s="111"/>
      <c r="J218" s="111"/>
      <c r="K218" s="111"/>
      <c r="L218" s="111"/>
      <c r="M218" s="110"/>
      <c r="N218" s="110"/>
      <c r="O218" s="110"/>
      <c r="W218" s="110"/>
      <c r="X218" s="170"/>
    </row>
    <row r="219" spans="1:24" ht="12.75" hidden="1">
      <c r="A219" s="112"/>
      <c r="B219" s="110"/>
      <c r="C219" s="145"/>
      <c r="D219" s="110"/>
      <c r="E219" s="111"/>
      <c r="F219" s="111"/>
      <c r="G219" s="111"/>
      <c r="H219" s="111"/>
      <c r="I219" s="111"/>
      <c r="J219" s="111"/>
      <c r="K219" s="111"/>
      <c r="L219" s="111"/>
      <c r="M219" s="110"/>
      <c r="N219" s="110"/>
      <c r="O219" s="110"/>
      <c r="W219" s="110"/>
      <c r="X219" s="170"/>
    </row>
    <row r="220" spans="1:24" ht="12.75" hidden="1">
      <c r="A220" s="112"/>
      <c r="B220" s="110"/>
      <c r="C220" s="145"/>
      <c r="D220" s="110"/>
      <c r="E220" s="111"/>
      <c r="F220" s="111"/>
      <c r="G220" s="111"/>
      <c r="H220" s="111"/>
      <c r="I220" s="111"/>
      <c r="J220" s="111"/>
      <c r="K220" s="111"/>
      <c r="L220" s="111"/>
      <c r="M220" s="110"/>
      <c r="N220" s="110"/>
      <c r="O220" s="110"/>
      <c r="W220" s="110"/>
      <c r="X220" s="170"/>
    </row>
    <row r="221" spans="1:24" ht="12.75" hidden="1">
      <c r="A221" s="112"/>
      <c r="B221" s="110"/>
      <c r="C221" s="145"/>
      <c r="D221" s="110"/>
      <c r="E221" s="111"/>
      <c r="F221" s="111"/>
      <c r="G221" s="111"/>
      <c r="H221" s="111"/>
      <c r="I221" s="111"/>
      <c r="J221" s="111"/>
      <c r="K221" s="111"/>
      <c r="L221" s="111"/>
      <c r="M221" s="110"/>
      <c r="N221" s="110"/>
      <c r="O221" s="110"/>
      <c r="W221" s="110"/>
      <c r="X221" s="170"/>
    </row>
    <row r="222" spans="1:24" ht="12.75" hidden="1">
      <c r="A222" s="112"/>
      <c r="B222" s="110"/>
      <c r="C222" s="145"/>
      <c r="D222" s="110"/>
      <c r="E222" s="111"/>
      <c r="F222" s="111"/>
      <c r="G222" s="111"/>
      <c r="H222" s="111"/>
      <c r="I222" s="111"/>
      <c r="J222" s="111"/>
      <c r="K222" s="111"/>
      <c r="L222" s="111"/>
      <c r="M222" s="110"/>
      <c r="N222" s="110"/>
      <c r="O222" s="110"/>
      <c r="W222" s="110"/>
      <c r="X222" s="170"/>
    </row>
    <row r="223" spans="1:24" ht="12.75" hidden="1">
      <c r="A223" s="112"/>
      <c r="B223" s="110"/>
      <c r="C223" s="145"/>
      <c r="D223" s="110"/>
      <c r="E223" s="111"/>
      <c r="F223" s="111"/>
      <c r="G223" s="111"/>
      <c r="H223" s="111"/>
      <c r="I223" s="111"/>
      <c r="J223" s="111"/>
      <c r="K223" s="111"/>
      <c r="L223" s="111"/>
      <c r="M223" s="110"/>
      <c r="N223" s="110"/>
      <c r="O223" s="110"/>
      <c r="W223" s="110"/>
      <c r="X223" s="170"/>
    </row>
    <row r="224" spans="1:24" ht="18.75" hidden="1">
      <c r="A224" s="112"/>
      <c r="B224" s="128"/>
      <c r="C224" s="145"/>
      <c r="D224" s="110"/>
      <c r="E224" s="111"/>
      <c r="F224" s="111"/>
      <c r="G224" s="111"/>
      <c r="H224" s="111"/>
      <c r="I224" s="111"/>
      <c r="J224" s="111"/>
      <c r="K224" s="111"/>
      <c r="L224" s="111"/>
      <c r="M224" s="110"/>
      <c r="N224" s="110"/>
      <c r="O224" s="110"/>
      <c r="W224" s="110"/>
      <c r="X224" s="170"/>
    </row>
    <row r="225" spans="1:24" ht="18.75" hidden="1">
      <c r="A225" s="112"/>
      <c r="B225" s="128"/>
      <c r="C225" s="145"/>
      <c r="D225" s="110"/>
      <c r="E225" s="111"/>
      <c r="F225" s="111"/>
      <c r="G225" s="111"/>
      <c r="H225" s="111"/>
      <c r="I225" s="111"/>
      <c r="J225" s="111"/>
      <c r="K225" s="111"/>
      <c r="L225" s="111"/>
      <c r="M225" s="110"/>
      <c r="N225" s="110"/>
      <c r="O225" s="110"/>
      <c r="W225" s="110"/>
      <c r="X225" s="170"/>
    </row>
    <row r="226" spans="1:24" ht="18.75" hidden="1">
      <c r="A226" s="112"/>
      <c r="B226" s="128"/>
      <c r="C226" s="145"/>
      <c r="D226" s="110"/>
      <c r="E226" s="111"/>
      <c r="F226" s="111"/>
      <c r="G226" s="111"/>
      <c r="H226" s="111"/>
      <c r="I226" s="111"/>
      <c r="J226" s="111"/>
      <c r="K226" s="111"/>
      <c r="L226" s="111"/>
      <c r="M226" s="110"/>
      <c r="N226" s="110"/>
      <c r="O226" s="110"/>
      <c r="W226" s="110"/>
      <c r="X226" s="170"/>
    </row>
    <row r="227" spans="1:24" ht="18.75" hidden="1">
      <c r="A227" s="112"/>
      <c r="B227" s="128"/>
      <c r="C227" s="145"/>
      <c r="D227" s="110"/>
      <c r="E227" s="111"/>
      <c r="F227" s="111"/>
      <c r="G227" s="111"/>
      <c r="H227" s="111"/>
      <c r="I227" s="111"/>
      <c r="J227" s="111"/>
      <c r="K227" s="111"/>
      <c r="L227" s="111"/>
      <c r="M227" s="110"/>
      <c r="N227" s="110"/>
      <c r="O227" s="110"/>
      <c r="W227" s="110"/>
      <c r="X227" s="170"/>
    </row>
    <row r="228" spans="1:24" ht="18.75" hidden="1">
      <c r="A228" s="112"/>
      <c r="B228" s="128"/>
      <c r="C228" s="145"/>
      <c r="D228" s="110"/>
      <c r="E228" s="111"/>
      <c r="F228" s="111"/>
      <c r="G228" s="111"/>
      <c r="H228" s="111"/>
      <c r="I228" s="111"/>
      <c r="J228" s="111"/>
      <c r="K228" s="111"/>
      <c r="L228" s="111"/>
      <c r="M228" s="110"/>
      <c r="N228" s="110"/>
      <c r="O228" s="110"/>
      <c r="W228" s="110"/>
      <c r="X228" s="170"/>
    </row>
    <row r="229" ht="18.75" hidden="1">
      <c r="B229" s="129"/>
    </row>
    <row r="230" ht="18.75" hidden="1">
      <c r="B230" s="129"/>
    </row>
    <row r="231" ht="18.75" hidden="1">
      <c r="B231" s="129"/>
    </row>
    <row r="232" ht="18.75">
      <c r="B232" s="129" t="s">
        <v>169</v>
      </c>
    </row>
    <row r="233" ht="18.75">
      <c r="B233" s="129" t="s">
        <v>170</v>
      </c>
    </row>
    <row r="255" ht="12.75"/>
  </sheetData>
  <sheetProtection password="CC3D" sheet="1" objects="1" scenarios="1" formatCells="0" formatColumns="0" formatRows="0"/>
  <mergeCells count="105">
    <mergeCell ref="N211:W211"/>
    <mergeCell ref="N212:W212"/>
    <mergeCell ref="N213:W213"/>
    <mergeCell ref="A193:W193"/>
    <mergeCell ref="N207:W207"/>
    <mergeCell ref="N208:W208"/>
    <mergeCell ref="N209:W209"/>
    <mergeCell ref="N210:W210"/>
    <mergeCell ref="N203:W203"/>
    <mergeCell ref="N204:W204"/>
    <mergeCell ref="F4:I4"/>
    <mergeCell ref="F5:F6"/>
    <mergeCell ref="G5:G6"/>
    <mergeCell ref="H5:H6"/>
    <mergeCell ref="N205:W205"/>
    <mergeCell ref="N206:W206"/>
    <mergeCell ref="D4:E4"/>
    <mergeCell ref="D5:D6"/>
    <mergeCell ref="E5:E6"/>
    <mergeCell ref="B162:W162"/>
    <mergeCell ref="W8:W10"/>
    <mergeCell ref="W19:W22"/>
    <mergeCell ref="B152:C152"/>
    <mergeCell ref="N200:W200"/>
    <mergeCell ref="B151:C151"/>
    <mergeCell ref="B149:C149"/>
    <mergeCell ref="B150:C150"/>
    <mergeCell ref="O5:O6"/>
    <mergeCell ref="I5:I6"/>
    <mergeCell ref="L5:M5"/>
    <mergeCell ref="N5:N6"/>
    <mergeCell ref="A1:W2"/>
    <mergeCell ref="A3:D3"/>
    <mergeCell ref="E3:W3"/>
    <mergeCell ref="A4:A6"/>
    <mergeCell ref="B4:B6"/>
    <mergeCell ref="C4:C6"/>
    <mergeCell ref="J4:V4"/>
    <mergeCell ref="W4:W6"/>
    <mergeCell ref="J5:K5"/>
    <mergeCell ref="P5:V5"/>
    <mergeCell ref="N201:W201"/>
    <mergeCell ref="B183:D183"/>
    <mergeCell ref="N202:W202"/>
    <mergeCell ref="U166:U167"/>
    <mergeCell ref="V166:V167"/>
    <mergeCell ref="W166:W167"/>
    <mergeCell ref="N185:W185"/>
    <mergeCell ref="N188:W188"/>
    <mergeCell ref="N192:W192"/>
    <mergeCell ref="A198:V198"/>
    <mergeCell ref="L213:M213"/>
    <mergeCell ref="A185:J185"/>
    <mergeCell ref="A188:E188"/>
    <mergeCell ref="H188:J188"/>
    <mergeCell ref="A192:E192"/>
    <mergeCell ref="L200:M200"/>
    <mergeCell ref="L202:M202"/>
    <mergeCell ref="L203:M203"/>
    <mergeCell ref="L201:M201"/>
    <mergeCell ref="F192:G192"/>
    <mergeCell ref="B153:C153"/>
    <mergeCell ref="E166:E167"/>
    <mergeCell ref="J166:K166"/>
    <mergeCell ref="F166:I166"/>
    <mergeCell ref="C166:D166"/>
    <mergeCell ref="A163:B163"/>
    <mergeCell ref="A164:W164"/>
    <mergeCell ref="F165:K165"/>
    <mergeCell ref="L165:O165"/>
    <mergeCell ref="N166:O166"/>
    <mergeCell ref="B181:D181"/>
    <mergeCell ref="B182:D182"/>
    <mergeCell ref="A165:A167"/>
    <mergeCell ref="B165:B167"/>
    <mergeCell ref="C165:E165"/>
    <mergeCell ref="P166:T166"/>
    <mergeCell ref="L166:M166"/>
    <mergeCell ref="L212:M212"/>
    <mergeCell ref="AE200:AF200"/>
    <mergeCell ref="AE201:AF201"/>
    <mergeCell ref="AE202:AF202"/>
    <mergeCell ref="AE203:AF203"/>
    <mergeCell ref="AE204:AF204"/>
    <mergeCell ref="AE205:AF205"/>
    <mergeCell ref="L209:M209"/>
    <mergeCell ref="L211:M211"/>
    <mergeCell ref="L210:M210"/>
    <mergeCell ref="L204:M204"/>
    <mergeCell ref="L205:M205"/>
    <mergeCell ref="L208:M208"/>
    <mergeCell ref="L206:M206"/>
    <mergeCell ref="L207:M207"/>
    <mergeCell ref="AE213:AF213"/>
    <mergeCell ref="AE208:AF208"/>
    <mergeCell ref="AE209:AF209"/>
    <mergeCell ref="AE210:AF210"/>
    <mergeCell ref="AE211:AF211"/>
    <mergeCell ref="AE212:AF212"/>
    <mergeCell ref="W56:W60"/>
    <mergeCell ref="W62:W66"/>
    <mergeCell ref="W31:W36"/>
    <mergeCell ref="W38:W42"/>
    <mergeCell ref="W44:W48"/>
    <mergeCell ref="W50:W54"/>
  </mergeCells>
  <printOptions/>
  <pageMargins left="0" right="0" top="0" bottom="0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2012-10-08T10:05:10Z</cp:lastPrinted>
  <dcterms:created xsi:type="dcterms:W3CDTF">1996-10-08T23:32:33Z</dcterms:created>
  <dcterms:modified xsi:type="dcterms:W3CDTF">2012-10-18T04:09:46Z</dcterms:modified>
  <cp:category/>
  <cp:version/>
  <cp:contentType/>
  <cp:contentStatus/>
</cp:coreProperties>
</file>