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activeTab="2"/>
  </bookViews>
  <sheets>
    <sheet name="2011" sheetId="1" r:id="rId1"/>
    <sheet name="2012 ЕТО" sheetId="2" r:id="rId2"/>
    <sheet name="2012 ЕТО упр" sheetId="3" r:id="rId3"/>
    <sheet name="2012 МПУТ" sheetId="4" r:id="rId4"/>
  </sheets>
  <definedNames>
    <definedName name="_xlnm.Print_Titles" localSheetId="0">'2011'!$1:$8</definedName>
    <definedName name="_xlnm.Print_Titles" localSheetId="1">'2012 ЕТО'!$1:$8</definedName>
    <definedName name="_xlnm.Print_Titles" localSheetId="2">'2012 ЕТО упр'!$1:$8</definedName>
    <definedName name="_xlnm.Print_Titles" localSheetId="3">'2012 МПУТ'!$1:$8</definedName>
    <definedName name="_xlnm.Print_Area" localSheetId="0">'2011'!$A$1:$O$266</definedName>
  </definedNames>
  <calcPr fullCalcOnLoad="1" fullPrecision="0"/>
</workbook>
</file>

<file path=xl/comments2.xml><?xml version="1.0" encoding="utf-8"?>
<comments xmlns="http://schemas.openxmlformats.org/spreadsheetml/2006/main">
  <authors>
    <author>tkalmikova</author>
  </authors>
  <commentList>
    <comment ref="A219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tkalmikova</author>
  </authors>
  <commentList>
    <comment ref="A220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tkalmikova</author>
  </authors>
  <commentList>
    <comment ref="A219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<sst xmlns="http://schemas.openxmlformats.org/spreadsheetml/2006/main" count="2629" uniqueCount="252">
  <si>
    <t>№  п/п</t>
  </si>
  <si>
    <t>Статьи затрат</t>
  </si>
  <si>
    <t>Ед.изм.</t>
  </si>
  <si>
    <t>Выработка т/энергии</t>
  </si>
  <si>
    <t>Гкал</t>
  </si>
  <si>
    <t>%</t>
  </si>
  <si>
    <t>Полезный отпуск</t>
  </si>
  <si>
    <t xml:space="preserve">Топливо </t>
  </si>
  <si>
    <t>Тыс.руб</t>
  </si>
  <si>
    <t>Электроэнергия</t>
  </si>
  <si>
    <t>Вода</t>
  </si>
  <si>
    <t>Материалы</t>
  </si>
  <si>
    <t>Затраты на оплату труда</t>
  </si>
  <si>
    <t>Средняя зарплата ОПР</t>
  </si>
  <si>
    <t>руб./чел.</t>
  </si>
  <si>
    <t>Амортизация</t>
  </si>
  <si>
    <t>затраты на ремонт</t>
  </si>
  <si>
    <t xml:space="preserve">Себестоимость      </t>
  </si>
  <si>
    <t>руб./Гкал</t>
  </si>
  <si>
    <t>Рентабельность</t>
  </si>
  <si>
    <t>Среднеотпускной тариф</t>
  </si>
  <si>
    <t>Группы потребителей</t>
  </si>
  <si>
    <t xml:space="preserve">Прочие потребители </t>
  </si>
  <si>
    <t>сод. оборуд.</t>
  </si>
  <si>
    <t>сод. транспорта</t>
  </si>
  <si>
    <t>Собственное потребление</t>
  </si>
  <si>
    <t>с/нужды</t>
  </si>
  <si>
    <t>Удельная норма расхода эл.энергии</t>
  </si>
  <si>
    <t>Расход эл.энергии</t>
  </si>
  <si>
    <t>Расход воды</t>
  </si>
  <si>
    <t>Цена топлива</t>
  </si>
  <si>
    <t>Отпуск в сеть</t>
  </si>
  <si>
    <t>Потери в сетях</t>
  </si>
  <si>
    <t>Цена эл.энергии</t>
  </si>
  <si>
    <t>Цена воды</t>
  </si>
  <si>
    <t>Численность</t>
  </si>
  <si>
    <t>Услуги сл. Заказчика</t>
  </si>
  <si>
    <t>Выпадающие доходы</t>
  </si>
  <si>
    <t>Бюджетные организации, в т.ч.</t>
  </si>
  <si>
    <t>федеральный бюджет</t>
  </si>
  <si>
    <t>местный бюджет</t>
  </si>
  <si>
    <t>Итого</t>
  </si>
  <si>
    <t>чел.</t>
  </si>
  <si>
    <t>тыс.м3</t>
  </si>
  <si>
    <t>тыс.кВт/ч</t>
  </si>
  <si>
    <t>руб/кВт/ч</t>
  </si>
  <si>
    <t>руб/м3</t>
  </si>
  <si>
    <t>Действующий тариф</t>
  </si>
  <si>
    <t>Факт 1 квартала</t>
  </si>
  <si>
    <t>Удельная норма расхода условного топлива</t>
  </si>
  <si>
    <t>Расход натурального топлива</t>
  </si>
  <si>
    <t>Затраты на покупную тепловую энергию</t>
  </si>
  <si>
    <t>Налоги и сборы, в т.ч.</t>
  </si>
  <si>
    <t>налог на землю</t>
  </si>
  <si>
    <t>плата за экологию</t>
  </si>
  <si>
    <t>ср-ва на страхование</t>
  </si>
  <si>
    <t>арендная плата</t>
  </si>
  <si>
    <t>Прибыль, в т.ч.</t>
  </si>
  <si>
    <t xml:space="preserve">на социальное развитие </t>
  </si>
  <si>
    <t>на поощрение</t>
  </si>
  <si>
    <t>н-г на прибыль</t>
  </si>
  <si>
    <t>налоги и сборы, в т.ч.</t>
  </si>
  <si>
    <t>-</t>
  </si>
  <si>
    <t>Тыс.руб.</t>
  </si>
  <si>
    <t>Удельная норма расхода воды</t>
  </si>
  <si>
    <t>м3/Гкал</t>
  </si>
  <si>
    <t>Прочие расходы, в т.ч.</t>
  </si>
  <si>
    <t>охрана труда</t>
  </si>
  <si>
    <t>другие расходы</t>
  </si>
  <si>
    <t>налог на имущество</t>
  </si>
  <si>
    <t xml:space="preserve">Первый заместитель председателя комитета                                                                            </t>
  </si>
  <si>
    <t xml:space="preserve">Начальник экспертного отдела                                                                                                    </t>
  </si>
  <si>
    <t>Затраты</t>
  </si>
  <si>
    <t>кг у.т./Гкал</t>
  </si>
  <si>
    <t>Затраты производст. характера, в т.ч.:</t>
  </si>
  <si>
    <t>Уголь</t>
  </si>
  <si>
    <t>Природный газ</t>
  </si>
  <si>
    <t>в т.ч. тариф на трансп-ку</t>
  </si>
  <si>
    <t>руб/тн</t>
  </si>
  <si>
    <t>тн</t>
  </si>
  <si>
    <t>тыс. м3</t>
  </si>
  <si>
    <t>руб/тыс.м3</t>
  </si>
  <si>
    <t>Мазут</t>
  </si>
  <si>
    <t>Дрова</t>
  </si>
  <si>
    <t>Дизельное топливо</t>
  </si>
  <si>
    <t>Печное топливо</t>
  </si>
  <si>
    <t>Нефть</t>
  </si>
  <si>
    <t>на угле</t>
  </si>
  <si>
    <t>на мазуте</t>
  </si>
  <si>
    <t>на дизельном топливе</t>
  </si>
  <si>
    <t>на дровах</t>
  </si>
  <si>
    <t>на печном топливе</t>
  </si>
  <si>
    <t>на нефти</t>
  </si>
  <si>
    <t>Топлив. коэффициент</t>
  </si>
  <si>
    <t>Топливо, в т.ч.</t>
  </si>
  <si>
    <t>уголь</t>
  </si>
  <si>
    <t>природный газ</t>
  </si>
  <si>
    <t>мазут</t>
  </si>
  <si>
    <t>дизельное топливо</t>
  </si>
  <si>
    <t>дрова</t>
  </si>
  <si>
    <t>печное топливо</t>
  </si>
  <si>
    <t>нефть</t>
  </si>
  <si>
    <t>на электроэнергии</t>
  </si>
  <si>
    <t>областной бюджет</t>
  </si>
  <si>
    <t>Тариф</t>
  </si>
  <si>
    <t>Рост,         %</t>
  </si>
  <si>
    <t>Рост,                              %</t>
  </si>
  <si>
    <t>Данные предприятия</t>
  </si>
  <si>
    <t>Ожида-емое</t>
  </si>
  <si>
    <t>К утверждению ЕТО</t>
  </si>
  <si>
    <t>Итого затрат:</t>
  </si>
  <si>
    <t>Необходимая валовая выручка (НВВ)</t>
  </si>
  <si>
    <t>Покупка тепловой энергии</t>
  </si>
  <si>
    <t>Отклонение по статьям</t>
  </si>
  <si>
    <t>Удельный вес,         %</t>
  </si>
  <si>
    <t xml:space="preserve">С.В. Терещук </t>
  </si>
  <si>
    <t xml:space="preserve">Г.В. Юдина </t>
  </si>
  <si>
    <t>Цеховые расходы,         в т.ч.:</t>
  </si>
  <si>
    <t>оплата труда</t>
  </si>
  <si>
    <t>Общехозяйств. расходы, в т.ч.:</t>
  </si>
  <si>
    <t>НН (0,4 кВ и ниже)</t>
  </si>
  <si>
    <t>СН 2 (1 - 20 кВ)</t>
  </si>
  <si>
    <t>СН 1 (35 кВ)</t>
  </si>
  <si>
    <t>ВН  (110 кВ и выше)</t>
  </si>
  <si>
    <t>НН</t>
  </si>
  <si>
    <t>СН 2</t>
  </si>
  <si>
    <t>СН 1</t>
  </si>
  <si>
    <t>ВН</t>
  </si>
  <si>
    <t>Главный специалист</t>
  </si>
  <si>
    <t xml:space="preserve">ИНН </t>
  </si>
  <si>
    <t>КПП</t>
  </si>
  <si>
    <t>Доходы,                                    тыс. руб.</t>
  </si>
  <si>
    <t>часы</t>
  </si>
  <si>
    <t>прогноз:</t>
  </si>
  <si>
    <t xml:space="preserve">Согласовано адм.: </t>
  </si>
  <si>
    <t>Убыток</t>
  </si>
  <si>
    <t>Примечание</t>
  </si>
  <si>
    <t>на развитие производства (инвестиционные и производственные программы)</t>
  </si>
  <si>
    <t>капитальный ремонт</t>
  </si>
  <si>
    <t>на прочие цели, в т.ч.</t>
  </si>
  <si>
    <t>Полезный отпуск на отопление по счетчикам, Гкал</t>
  </si>
  <si>
    <t>Полезный отпуск на ГВС по счетчикам, Гкал</t>
  </si>
  <si>
    <t>Э/энергия по нере-гулируемым ценам</t>
  </si>
  <si>
    <t>x</t>
  </si>
  <si>
    <t>Руководитель организации</t>
  </si>
  <si>
    <t>самоуправления:</t>
  </si>
  <si>
    <t>Согласовано органом местного</t>
  </si>
  <si>
    <t>Число часов использования мощности</t>
  </si>
  <si>
    <t>Полезный отпуск на отопление по нормативу Гкал (гр.4*гр.5)</t>
  </si>
  <si>
    <t>Годовой норматив на отопле-ние, Гкал/кв.м</t>
  </si>
  <si>
    <t>Норма-тив на ГВС, Гкал на чел. в месяц</t>
  </si>
  <si>
    <t>Отапливаемая площадь по нормати-ву, кв.м.</t>
  </si>
  <si>
    <t>Количество человек оплачи-вающих ГВС по норма-тиву, чел.</t>
  </si>
  <si>
    <t>Полез-ный отпуск на ГВС по нормати-ву             Гкал (гр.8*гр.9*гр.10)</t>
  </si>
  <si>
    <t>Население                            (частный сектор)</t>
  </si>
  <si>
    <t>Возмещение затрат предприятия за счет средств местного бюджета</t>
  </si>
  <si>
    <t>В том числе:</t>
  </si>
  <si>
    <t>Э/энергия по регулируемым ценам</t>
  </si>
  <si>
    <t>Общий объем, включая э/энергию по нерегулируемым ценам</t>
  </si>
  <si>
    <t>доля э/энергии по регулируемым ценам, %</t>
  </si>
  <si>
    <t>х</t>
  </si>
  <si>
    <t>руб/кВт/мес.</t>
  </si>
  <si>
    <t>тыс. кВт</t>
  </si>
  <si>
    <t>по регулируемой цене</t>
  </si>
  <si>
    <t>по нерегулируемой цене</t>
  </si>
  <si>
    <t xml:space="preserve">Тариф            2009 года </t>
  </si>
  <si>
    <t>Факт               2009 года</t>
  </si>
  <si>
    <t>Базовый период 2010 год</t>
  </si>
  <si>
    <t xml:space="preserve"> Регулируемый период 2011 год</t>
  </si>
  <si>
    <t xml:space="preserve">Средняя зарплата </t>
  </si>
  <si>
    <t>Фактический полезный отпуск 2009 года, Гкал</t>
  </si>
  <si>
    <t>Тарифы 2009 года, руб./Гкал</t>
  </si>
  <si>
    <t>Утвержденный полезный отпуск 2010 года, Гкал</t>
  </si>
  <si>
    <t>Фактический полезный отпуск 1 квартала 2010 года, Гкал</t>
  </si>
  <si>
    <t>Ожидаемый полезный отпуск 2010 года,  Гкал</t>
  </si>
  <si>
    <t>Полезный отпуск 2011 года, Гкал</t>
  </si>
  <si>
    <t>Действ. тарифы 2010 года,                                                              руб/Гкал</t>
  </si>
  <si>
    <t>Вариант ЕТО на 2011 год, руб/Гкал</t>
  </si>
  <si>
    <t>Вариант администрации на 2011 год,          руб./Гкал</t>
  </si>
  <si>
    <t>Расчет полезного отпуска тепловой энергии на 2011 год</t>
  </si>
  <si>
    <t>Итого полезный отпуск                                  на 2011 год,                           Гкал (гр.3+гр.6+гр.7+ гр.11)</t>
  </si>
  <si>
    <t>Количест-во месяцев предоставления услуги ГВС</t>
  </si>
  <si>
    <t>Среднемесячный объем мощности</t>
  </si>
  <si>
    <t>Население (многоквартирный жилой фонд)</t>
  </si>
  <si>
    <t>Организации-перепродавцы</t>
  </si>
  <si>
    <t xml:space="preserve">Население </t>
  </si>
  <si>
    <t>многоквартирный жилой фонд</t>
  </si>
  <si>
    <t>частный сектор</t>
  </si>
  <si>
    <t>Ставка за мощность</t>
  </si>
  <si>
    <t>Иные потребители</t>
  </si>
  <si>
    <t>2.1.</t>
  </si>
  <si>
    <t>2.2.</t>
  </si>
  <si>
    <t>2.3.</t>
  </si>
  <si>
    <t>на природном газе</t>
  </si>
  <si>
    <t>Начисления на оплату труда</t>
  </si>
  <si>
    <t>Смета затрат и расчет тарифа на тепловую энергию, вырабатываемую котельной № 9 на 2011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</si>
  <si>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</si>
  <si>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Тарифы по группам потребителей (</t>
    </r>
    <r>
      <rPr>
        <b/>
        <sz val="12"/>
        <color indexed="10"/>
        <rFont val="Times New Roman"/>
        <family val="1"/>
      </rPr>
      <t>без учета НДС</t>
    </r>
    <r>
      <rPr>
        <b/>
        <sz val="12"/>
        <rFont val="Times New Roman"/>
        <family val="1"/>
      </rPr>
      <t>)</t>
    </r>
  </si>
  <si>
    <t xml:space="preserve">Тариф            2010 года </t>
  </si>
  <si>
    <t>Факт               2010 года</t>
  </si>
  <si>
    <t xml:space="preserve"> Регулируемый период 2012 год</t>
  </si>
  <si>
    <t xml:space="preserve">К утверждению ЕТО </t>
  </si>
  <si>
    <t>Годовые затраты по статьям</t>
  </si>
  <si>
    <t>C 01.07.12 г.</t>
  </si>
  <si>
    <t>C 01.09.12 г.</t>
  </si>
  <si>
    <t>Рост к 2011 г.,         %</t>
  </si>
  <si>
    <t>Рост к 07.2012 г.,         %</t>
  </si>
  <si>
    <t>Отклонение по статьям (гр9-гр5)</t>
  </si>
  <si>
    <t>количество котельных - 1 ед</t>
  </si>
  <si>
    <t>протяженность сетей - _____км</t>
  </si>
  <si>
    <t>по инд</t>
  </si>
  <si>
    <t>Тарифы по группам потребителей  (без учета НДС)</t>
  </si>
  <si>
    <t>Фактический полезный отпуск 2010 года, Гкал</t>
  </si>
  <si>
    <t>Тарифы 2010 года, руб./Гкал</t>
  </si>
  <si>
    <t>Утвержденный полезный отпуск 2011 года, Гкал</t>
  </si>
  <si>
    <t>Действ. тарифы 2011 года,                                                              руб/Гкал</t>
  </si>
  <si>
    <t>Полезный отпуск 2012 года, Гкал</t>
  </si>
  <si>
    <t>Вариант ЕТО                                                             на 2012 год, руб/Гкал</t>
  </si>
  <si>
    <t>Вариант ЕТО на 2012 год, руб/Гкал</t>
  </si>
  <si>
    <t>Вариант адм. на 2012 год,          руб./Гкал</t>
  </si>
  <si>
    <t>Доходы                     2012 г.,                              %</t>
  </si>
  <si>
    <t>С 01.07.                  2012 г.</t>
  </si>
  <si>
    <t>С 01.09.    2012 г.</t>
  </si>
  <si>
    <t>Рост к 07.12,         %</t>
  </si>
  <si>
    <t>Консультант</t>
  </si>
  <si>
    <t>Т.М. Калмыкова</t>
  </si>
  <si>
    <t>Расчет полезного отпуска тепловой энергии на 2012 год</t>
  </si>
  <si>
    <t>Смета затрат и расчет тарифа на тепловую энергию, вырабатываемую котельной котельной № 9 МПУТ Кыштымского городского округа, на 2012 год</t>
  </si>
  <si>
    <t>ИНН 7413000541</t>
  </si>
  <si>
    <t>КПП  741301001</t>
  </si>
  <si>
    <t>(386,97+2637+50,5)*1,15</t>
  </si>
  <si>
    <t>* С 01.01.2012 по 30.06.2012 действует тариф на тепловую энергию, утвержденный ЕТО для котельной котельной № 9 МПУТ Кыштымского городского округа, на 2011 год</t>
  </si>
  <si>
    <t>протяженность сетей - 3,615_км</t>
  </si>
  <si>
    <t>Годовые затраты по статьям-2012</t>
  </si>
  <si>
    <t>Действующий тариф (общий) 2011 г.</t>
  </si>
  <si>
    <t>Действующий тариф (МПУТ) 2011 г.</t>
  </si>
  <si>
    <t>по норм 106,5/5</t>
  </si>
  <si>
    <t>3,1*1,08</t>
  </si>
  <si>
    <t>14,38*1,119</t>
  </si>
  <si>
    <t>2011 год</t>
  </si>
  <si>
    <t>Доходы                     2011 г.,                              %</t>
  </si>
  <si>
    <t>без ндс с1.07.2012</t>
  </si>
  <si>
    <t>(386,97+2637+50,5)*1,15*1,18</t>
  </si>
  <si>
    <t>Среднеотпускной тариф с НДС</t>
  </si>
  <si>
    <t xml:space="preserve">Тарифы по группам потребителей  (НДС не предусмотрен) </t>
  </si>
  <si>
    <t>Тариф (МПУТ) 2011 г.                    (с НДС)</t>
  </si>
  <si>
    <t>3,158*1,08*1,18</t>
  </si>
  <si>
    <t>ср. 15000</t>
  </si>
  <si>
    <t>Действ. тарифы 2011 года, руб/Гкал</t>
  </si>
  <si>
    <t>без НДС</t>
  </si>
  <si>
    <t>с НДС</t>
  </si>
  <si>
    <t>ремонт дымовой трубы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</si>
</sst>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0.0%"/>
    <numFmt numFmtId="171" formatCode="[$-FC19]d\ mmmm\ yyyy\ &quot;г.&quot;"/>
    <numFmt numFmtId="172" formatCode="#,##0.0"/>
    <numFmt numFmtId="173" formatCode="#,##0.000"/>
    <numFmt numFmtId="174" formatCode="#,##0.0000"/>
  </numFmts>
  <fonts count="61"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8" fillId="33" borderId="0" xfId="0" applyFont="1" applyFill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3" fillId="0" borderId="0" xfId="55" applyFont="1" applyFill="1" applyBorder="1" applyAlignment="1" applyProtection="1">
      <alignment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3" fillId="0" borderId="10" xfId="55" applyFont="1" applyFill="1" applyBorder="1" applyAlignment="1" applyProtection="1">
      <alignment horizontal="right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12" fillId="0" borderId="10" xfId="55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164" fontId="7" fillId="33" borderId="10" xfId="0" applyNumberFormat="1" applyFont="1" applyFill="1" applyBorder="1" applyAlignment="1" applyProtection="1">
      <alignment horizontal="center" vertical="center"/>
      <protection/>
    </xf>
    <xf numFmtId="164" fontId="7" fillId="33" borderId="10" xfId="0" applyNumberFormat="1" applyFont="1" applyFill="1" applyBorder="1" applyAlignment="1" applyProtection="1">
      <alignment horizontal="center" vertical="center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35" borderId="10" xfId="0" applyNumberFormat="1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164" fontId="2" fillId="35" borderId="10" xfId="0" applyNumberFormat="1" applyFont="1" applyFill="1" applyBorder="1" applyAlignment="1" applyProtection="1">
      <alignment horizontal="center" vertical="center"/>
      <protection hidden="1"/>
    </xf>
    <xf numFmtId="2" fontId="2" fillId="35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5" borderId="10" xfId="54" applyNumberFormat="1" applyFont="1" applyFill="1" applyBorder="1" applyAlignment="1" applyProtection="1">
      <alignment horizontal="center" vertical="center"/>
      <protection locked="0"/>
    </xf>
    <xf numFmtId="165" fontId="2" fillId="33" borderId="10" xfId="0" applyNumberFormat="1" applyFont="1" applyFill="1" applyBorder="1" applyAlignment="1" applyProtection="1">
      <alignment horizontal="center" vertical="center"/>
      <protection locked="0"/>
    </xf>
    <xf numFmtId="165" fontId="2" fillId="35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35" borderId="10" xfId="54" applyNumberFormat="1" applyFont="1" applyFill="1" applyBorder="1" applyAlignment="1" applyProtection="1">
      <alignment horizontal="center" vertical="center"/>
      <protection locked="0"/>
    </xf>
    <xf numFmtId="2" fontId="2" fillId="35" borderId="10" xfId="0" applyNumberFormat="1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66" fontId="2" fillId="33" borderId="10" xfId="0" applyNumberFormat="1" applyFont="1" applyFill="1" applyBorder="1" applyAlignment="1" applyProtection="1">
      <alignment horizontal="center" vertical="center"/>
      <protection/>
    </xf>
    <xf numFmtId="166" fontId="2" fillId="35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/>
      <protection/>
    </xf>
    <xf numFmtId="164" fontId="7" fillId="34" borderId="10" xfId="0" applyNumberFormat="1" applyFont="1" applyFill="1" applyBorder="1" applyAlignment="1" applyProtection="1">
      <alignment horizontal="center" vertical="center"/>
      <protection locked="0"/>
    </xf>
    <xf numFmtId="2" fontId="7" fillId="34" borderId="10" xfId="0" applyNumberFormat="1" applyFont="1" applyFill="1" applyBorder="1" applyAlignment="1" applyProtection="1">
      <alignment horizontal="center" vertical="center"/>
      <protection locked="0"/>
    </xf>
    <xf numFmtId="164" fontId="7" fillId="34" borderId="10" xfId="0" applyNumberFormat="1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164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0" xfId="55" applyNumberFormat="1" applyFont="1" applyFill="1" applyBorder="1" applyAlignment="1" applyProtection="1">
      <alignment horizontal="center" wrapText="1"/>
      <protection locked="0"/>
    </xf>
    <xf numFmtId="2" fontId="2" fillId="35" borderId="12" xfId="55" applyNumberFormat="1" applyFont="1" applyFill="1" applyBorder="1" applyAlignment="1" applyProtection="1">
      <alignment horizontal="center" wrapText="1"/>
      <protection locked="0"/>
    </xf>
    <xf numFmtId="2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 applyProtection="1">
      <alignment horizontal="center" vertical="center"/>
      <protection locked="0"/>
    </xf>
    <xf numFmtId="2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5" borderId="10" xfId="0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35" borderId="10" xfId="54" applyNumberFormat="1" applyFont="1" applyFill="1" applyBorder="1" applyAlignment="1" applyProtection="1">
      <alignment horizontal="center" vertical="center"/>
      <protection locked="0"/>
    </xf>
    <xf numFmtId="2" fontId="7" fillId="35" borderId="10" xfId="54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 locked="0"/>
    </xf>
    <xf numFmtId="166" fontId="2" fillId="35" borderId="10" xfId="0" applyNumberFormat="1" applyFont="1" applyFill="1" applyBorder="1" applyAlignment="1" applyProtection="1">
      <alignment horizontal="center" vertical="center"/>
      <protection/>
    </xf>
    <xf numFmtId="16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2" fontId="15" fillId="35" borderId="10" xfId="0" applyNumberFormat="1" applyFont="1" applyFill="1" applyBorder="1" applyAlignment="1" applyProtection="1">
      <alignment horizontal="center" vertical="center"/>
      <protection/>
    </xf>
    <xf numFmtId="2" fontId="15" fillId="33" borderId="10" xfId="0" applyNumberFormat="1" applyFont="1" applyFill="1" applyBorder="1" applyAlignment="1" applyProtection="1">
      <alignment horizontal="center" vertical="center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vertical="center"/>
      <protection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2" fontId="17" fillId="0" borderId="10" xfId="0" applyNumberFormat="1" applyFont="1" applyFill="1" applyBorder="1" applyAlignment="1" applyProtection="1">
      <alignment horizontal="center" vertical="center"/>
      <protection/>
    </xf>
    <xf numFmtId="2" fontId="17" fillId="35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6" borderId="10" xfId="0" applyNumberFormat="1" applyFont="1" applyFill="1" applyBorder="1" applyAlignment="1" applyProtection="1">
      <alignment horizontal="center" vertical="center"/>
      <protection locked="0"/>
    </xf>
    <xf numFmtId="2" fontId="2" fillId="36" borderId="10" xfId="0" applyNumberFormat="1" applyFont="1" applyFill="1" applyBorder="1" applyAlignment="1" applyProtection="1">
      <alignment horizontal="center" vertical="center"/>
      <protection/>
    </xf>
    <xf numFmtId="164" fontId="2" fillId="36" borderId="10" xfId="0" applyNumberFormat="1" applyFont="1" applyFill="1" applyBorder="1" applyAlignment="1" applyProtection="1">
      <alignment horizontal="center" vertical="center"/>
      <protection locked="0"/>
    </xf>
    <xf numFmtId="164" fontId="2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5" fillId="36" borderId="10" xfId="0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7" fillId="35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72" fontId="5" fillId="35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2" fillId="35" borderId="10" xfId="54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vertical="center" wrapText="1"/>
      <protection locked="0"/>
    </xf>
    <xf numFmtId="172" fontId="2" fillId="35" borderId="1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172" fontId="7" fillId="35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2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53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54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 applyProtection="1">
      <alignment horizontal="center" vertical="center"/>
      <protection hidden="1"/>
    </xf>
    <xf numFmtId="172" fontId="2" fillId="0" borderId="10" xfId="0" applyNumberFormat="1" applyFont="1" applyFill="1" applyBorder="1" applyAlignment="1" applyProtection="1">
      <alignment horizontal="center" vertical="center"/>
      <protection hidden="1"/>
    </xf>
    <xf numFmtId="4" fontId="2" fillId="35" borderId="10" xfId="0" applyNumberFormat="1" applyFont="1" applyFill="1" applyBorder="1" applyAlignment="1" applyProtection="1">
      <alignment horizontal="center" vertical="center"/>
      <protection hidden="1"/>
    </xf>
    <xf numFmtId="4" fontId="2" fillId="0" borderId="10" xfId="53" applyNumberFormat="1" applyFont="1" applyFill="1" applyBorder="1" applyAlignment="1" applyProtection="1">
      <alignment horizontal="center" vertical="center"/>
      <protection hidden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5" borderId="10" xfId="54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2" fillId="35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 applyProtection="1">
      <alignment vertical="center" wrapText="1"/>
      <protection locked="0"/>
    </xf>
    <xf numFmtId="4" fontId="7" fillId="35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35" borderId="12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2" fillId="35" borderId="10" xfId="0" applyNumberFormat="1" applyFont="1" applyFill="1" applyBorder="1" applyAlignment="1">
      <alignment horizontal="center" vertical="center" wrapText="1"/>
    </xf>
    <xf numFmtId="172" fontId="17" fillId="35" borderId="10" xfId="0" applyNumberFormat="1" applyFont="1" applyFill="1" applyBorder="1" applyAlignment="1" applyProtection="1">
      <alignment horizontal="center" vertical="center"/>
      <protection/>
    </xf>
    <xf numFmtId="172" fontId="17" fillId="0" borderId="10" xfId="0" applyNumberFormat="1" applyFont="1" applyFill="1" applyBorder="1" applyAlignment="1" applyProtection="1">
      <alignment horizontal="center" vertical="center"/>
      <protection/>
    </xf>
    <xf numFmtId="4" fontId="17" fillId="35" borderId="10" xfId="0" applyNumberFormat="1" applyFont="1" applyFill="1" applyBorder="1" applyAlignment="1" applyProtection="1">
      <alignment horizontal="center" vertical="center"/>
      <protection/>
    </xf>
    <xf numFmtId="2" fontId="2" fillId="35" borderId="10" xfId="0" applyNumberFormat="1" applyFont="1" applyFill="1" applyBorder="1" applyAlignment="1">
      <alignment horizontal="center" vertical="center" wrapText="1"/>
    </xf>
    <xf numFmtId="174" fontId="7" fillId="35" borderId="10" xfId="0" applyNumberFormat="1" applyFont="1" applyFill="1" applyBorder="1" applyAlignment="1" applyProtection="1">
      <alignment horizontal="center" vertical="center"/>
      <protection locked="0"/>
    </xf>
    <xf numFmtId="174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35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3" fontId="2" fillId="35" borderId="10" xfId="0" applyNumberFormat="1" applyFont="1" applyFill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0" xfId="55" applyNumberFormat="1" applyFont="1" applyFill="1" applyBorder="1" applyAlignment="1" applyProtection="1">
      <alignment horizontal="center" wrapText="1"/>
      <protection locked="0"/>
    </xf>
    <xf numFmtId="172" fontId="2" fillId="35" borderId="12" xfId="55" applyNumberFormat="1" applyFont="1" applyFill="1" applyBorder="1" applyAlignment="1" applyProtection="1">
      <alignment horizontal="center" wrapText="1"/>
      <protection locked="0"/>
    </xf>
    <xf numFmtId="172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horizontal="center" vertical="center"/>
    </xf>
    <xf numFmtId="172" fontId="7" fillId="35" borderId="10" xfId="0" applyNumberFormat="1" applyFont="1" applyFill="1" applyBorder="1" applyAlignment="1" applyProtection="1">
      <alignment horizontal="center" vertical="center" wrapText="1"/>
      <protection/>
    </xf>
    <xf numFmtId="2" fontId="7" fillId="35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2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8" fillId="3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16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10" xfId="0" applyNumberFormat="1" applyFont="1" applyFill="1" applyBorder="1" applyAlignment="1" applyProtection="1">
      <alignment horizontal="center" vertical="center"/>
      <protection locked="0"/>
    </xf>
    <xf numFmtId="164" fontId="7" fillId="35" borderId="1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1" fontId="2" fillId="35" borderId="10" xfId="0" applyNumberFormat="1" applyFont="1" applyFill="1" applyBorder="1" applyAlignment="1" applyProtection="1">
      <alignment horizontal="center" vertical="center"/>
      <protection locked="0"/>
    </xf>
    <xf numFmtId="4" fontId="5" fillId="35" borderId="10" xfId="0" applyNumberFormat="1" applyFont="1" applyFill="1" applyBorder="1" applyAlignment="1" applyProtection="1">
      <alignment horizontal="center" vertical="center"/>
      <protection locked="0"/>
    </xf>
    <xf numFmtId="174" fontId="7" fillId="35" borderId="10" xfId="0" applyNumberFormat="1" applyFont="1" applyFill="1" applyBorder="1" applyAlignment="1" applyProtection="1">
      <alignment horizontal="center" vertical="center"/>
      <protection/>
    </xf>
    <xf numFmtId="4" fontId="2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53" applyNumberFormat="1" applyFont="1" applyFill="1" applyBorder="1" applyAlignment="1" applyProtection="1">
      <alignment horizontal="center" vertical="center"/>
      <protection/>
    </xf>
    <xf numFmtId="4" fontId="2" fillId="0" borderId="10" xfId="53" applyNumberFormat="1" applyFont="1" applyFill="1" applyBorder="1" applyAlignment="1" applyProtection="1">
      <alignment horizontal="center" vertical="center"/>
      <protection locked="0"/>
    </xf>
    <xf numFmtId="4" fontId="7" fillId="0" borderId="10" xfId="53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 applyProtection="1">
      <alignment horizontal="center"/>
      <protection locked="0"/>
    </xf>
    <xf numFmtId="4" fontId="17" fillId="0" borderId="10" xfId="53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72" fontId="2" fillId="0" borderId="10" xfId="53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35" borderId="1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 applyProtection="1">
      <alignment horizontal="center" vertical="center" wrapText="1"/>
      <protection/>
    </xf>
    <xf numFmtId="164" fontId="7" fillId="33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33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33" borderId="17" xfId="0" applyNumberFormat="1" applyFont="1" applyFill="1" applyBorder="1" applyAlignment="1" applyProtection="1">
      <alignment horizontal="center" vertical="center"/>
      <protection locked="0"/>
    </xf>
    <xf numFmtId="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" fillId="37" borderId="10" xfId="0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 applyProtection="1">
      <alignment horizontal="center" vertical="center"/>
      <protection/>
    </xf>
    <xf numFmtId="4" fontId="2" fillId="37" borderId="10" xfId="54" applyNumberFormat="1" applyFont="1" applyFill="1" applyBorder="1" applyAlignment="1" applyProtection="1">
      <alignment horizontal="center" vertical="center"/>
      <protection locked="0"/>
    </xf>
    <xf numFmtId="4" fontId="2" fillId="37" borderId="10" xfId="0" applyNumberFormat="1" applyFont="1" applyFill="1" applyBorder="1" applyAlignment="1" applyProtection="1">
      <alignment horizontal="center" vertical="center"/>
      <protection locked="0"/>
    </xf>
    <xf numFmtId="4" fontId="2" fillId="37" borderId="10" xfId="0" applyNumberFormat="1" applyFont="1" applyFill="1" applyBorder="1" applyAlignment="1" applyProtection="1">
      <alignment horizontal="center" vertical="center"/>
      <protection/>
    </xf>
    <xf numFmtId="4" fontId="7" fillId="37" borderId="10" xfId="54" applyNumberFormat="1" applyFont="1" applyFill="1" applyBorder="1" applyAlignment="1" applyProtection="1">
      <alignment horizontal="center" vertical="center"/>
      <protection locked="0"/>
    </xf>
    <xf numFmtId="4" fontId="7" fillId="37" borderId="1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173" fontId="2" fillId="37" borderId="10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 applyProtection="1">
      <alignment horizontal="center" vertical="center"/>
      <protection locked="0"/>
    </xf>
    <xf numFmtId="172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center" vertical="center" wrapText="1"/>
    </xf>
    <xf numFmtId="164" fontId="7" fillId="37" borderId="10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 applyProtection="1">
      <alignment horizontal="center" vertical="center"/>
      <protection/>
    </xf>
    <xf numFmtId="4" fontId="7" fillId="37" borderId="10" xfId="0" applyNumberFormat="1" applyFont="1" applyFill="1" applyBorder="1" applyAlignment="1" applyProtection="1">
      <alignment horizontal="center" vertical="center"/>
      <protection locked="0"/>
    </xf>
    <xf numFmtId="2" fontId="2" fillId="37" borderId="10" xfId="0" applyNumberFormat="1" applyFont="1" applyFill="1" applyBorder="1" applyAlignment="1">
      <alignment horizontal="center" vertical="center" wrapText="1"/>
    </xf>
    <xf numFmtId="164" fontId="7" fillId="37" borderId="10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" fontId="7" fillId="3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53" applyNumberFormat="1" applyFont="1" applyFill="1" applyBorder="1" applyAlignment="1" applyProtection="1">
      <alignment horizontal="center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2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 applyProtection="1">
      <alignment horizontal="right" vertical="center" wrapText="1"/>
      <protection locked="0"/>
    </xf>
    <xf numFmtId="0" fontId="11" fillId="33" borderId="13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3" fillId="35" borderId="10" xfId="0" applyNumberFormat="1" applyFont="1" applyFill="1" applyBorder="1" applyAlignment="1" applyProtection="1">
      <alignment horizontal="center" vertical="center"/>
      <protection locked="0"/>
    </xf>
    <xf numFmtId="2" fontId="1" fillId="35" borderId="11" xfId="0" applyNumberFormat="1" applyFont="1" applyFill="1" applyBorder="1" applyAlignment="1" applyProtection="1">
      <alignment horizontal="center" vertical="center"/>
      <protection/>
    </xf>
    <xf numFmtId="2" fontId="1" fillId="35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2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1" fillId="35" borderId="11" xfId="0" applyNumberFormat="1" applyFont="1" applyFill="1" applyBorder="1" applyAlignment="1" applyProtection="1">
      <alignment horizontal="center" vertical="center"/>
      <protection locked="0"/>
    </xf>
    <xf numFmtId="2" fontId="1" fillId="35" borderId="13" xfId="0" applyNumberFormat="1" applyFont="1" applyFill="1" applyBorder="1" applyAlignment="1" applyProtection="1">
      <alignment horizontal="center" vertical="center"/>
      <protection locked="0"/>
    </xf>
    <xf numFmtId="4" fontId="2" fillId="35" borderId="14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тарифы на 2002г с 1-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zoomScaleSheetLayoutView="100" zoomScalePageLayoutView="0" workbookViewId="0" topLeftCell="A1">
      <pane xSplit="3" ySplit="8" topLeftCell="D20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06" sqref="H206:H217"/>
    </sheetView>
  </sheetViews>
  <sheetFormatPr defaultColWidth="9.00390625" defaultRowHeight="12.75"/>
  <cols>
    <col min="1" max="1" width="5.625" style="0" customWidth="1"/>
    <col min="2" max="2" width="18.875" style="4" customWidth="1"/>
    <col min="3" max="3" width="8.375" style="4" customWidth="1"/>
    <col min="4" max="4" width="9.50390625" style="4" customWidth="1"/>
    <col min="5" max="5" width="9.625" style="4" customWidth="1"/>
    <col min="6" max="6" width="9.50390625" style="6" customWidth="1"/>
    <col min="7" max="7" width="9.00390625" style="6" customWidth="1"/>
    <col min="8" max="8" width="9.125" style="6" customWidth="1"/>
    <col min="9" max="9" width="8.50390625" style="6" customWidth="1"/>
    <col min="10" max="10" width="8.125" style="6" customWidth="1"/>
    <col min="11" max="11" width="8.50390625" style="6" customWidth="1"/>
    <col min="12" max="12" width="7.875" style="4" customWidth="1"/>
    <col min="13" max="13" width="8.50390625" style="4" customWidth="1"/>
    <col min="14" max="14" width="6.50390625" style="4" customWidth="1"/>
    <col min="15" max="15" width="14.50390625" style="4" customWidth="1"/>
    <col min="16" max="16" width="9.875" style="0" customWidth="1"/>
    <col min="18" max="18" width="11.50390625" style="0" customWidth="1"/>
  </cols>
  <sheetData>
    <row r="1" spans="1:15" ht="17.25" customHeight="1">
      <c r="A1" s="482" t="s">
        <v>195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</row>
    <row r="2" spans="1:15" ht="12.75" customHeigh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</row>
    <row r="3" spans="1:15" ht="5.25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</row>
    <row r="4" spans="1:15" ht="10.5" customHeight="1">
      <c r="A4" s="493" t="s">
        <v>129</v>
      </c>
      <c r="B4" s="481"/>
      <c r="C4" s="481"/>
      <c r="D4" s="481"/>
      <c r="E4" s="481" t="s">
        <v>130</v>
      </c>
      <c r="F4" s="481"/>
      <c r="G4" s="481"/>
      <c r="H4" s="481"/>
      <c r="I4" s="481"/>
      <c r="J4" s="474"/>
      <c r="K4" s="474"/>
      <c r="L4" s="474"/>
      <c r="M4" s="474"/>
      <c r="N4" s="474"/>
      <c r="O4" s="475"/>
    </row>
    <row r="5" spans="1:15" ht="19.5" customHeight="1">
      <c r="A5" s="487" t="s">
        <v>0</v>
      </c>
      <c r="B5" s="456" t="s">
        <v>1</v>
      </c>
      <c r="C5" s="478" t="s">
        <v>2</v>
      </c>
      <c r="D5" s="478" t="s">
        <v>165</v>
      </c>
      <c r="E5" s="478" t="s">
        <v>166</v>
      </c>
      <c r="F5" s="490" t="s">
        <v>167</v>
      </c>
      <c r="G5" s="491"/>
      <c r="H5" s="492"/>
      <c r="I5" s="497" t="s">
        <v>168</v>
      </c>
      <c r="J5" s="498"/>
      <c r="K5" s="498"/>
      <c r="L5" s="498"/>
      <c r="M5" s="498"/>
      <c r="N5" s="499"/>
      <c r="O5" s="483" t="s">
        <v>136</v>
      </c>
    </row>
    <row r="6" spans="1:15" ht="21.75" customHeight="1">
      <c r="A6" s="488"/>
      <c r="B6" s="456"/>
      <c r="C6" s="479"/>
      <c r="D6" s="479"/>
      <c r="E6" s="479"/>
      <c r="F6" s="476" t="s">
        <v>47</v>
      </c>
      <c r="G6" s="459" t="s">
        <v>48</v>
      </c>
      <c r="H6" s="476" t="s">
        <v>108</v>
      </c>
      <c r="I6" s="476" t="s">
        <v>107</v>
      </c>
      <c r="J6" s="476"/>
      <c r="K6" s="476" t="s">
        <v>109</v>
      </c>
      <c r="L6" s="476"/>
      <c r="M6" s="476" t="s">
        <v>113</v>
      </c>
      <c r="N6" s="456" t="s">
        <v>114</v>
      </c>
      <c r="O6" s="484"/>
    </row>
    <row r="7" spans="1:15" ht="15.75" customHeight="1">
      <c r="A7" s="489"/>
      <c r="B7" s="456"/>
      <c r="C7" s="480"/>
      <c r="D7" s="480"/>
      <c r="E7" s="480"/>
      <c r="F7" s="476"/>
      <c r="G7" s="459"/>
      <c r="H7" s="476"/>
      <c r="I7" s="49" t="s">
        <v>104</v>
      </c>
      <c r="J7" s="57" t="s">
        <v>105</v>
      </c>
      <c r="K7" s="49" t="s">
        <v>104</v>
      </c>
      <c r="L7" s="61" t="s">
        <v>105</v>
      </c>
      <c r="M7" s="476"/>
      <c r="N7" s="456"/>
      <c r="O7" s="485"/>
    </row>
    <row r="8" spans="1:15" ht="11.2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56">
        <v>6</v>
      </c>
      <c r="G8" s="56">
        <v>7</v>
      </c>
      <c r="H8" s="56">
        <v>8</v>
      </c>
      <c r="I8" s="56">
        <v>9</v>
      </c>
      <c r="J8" s="48">
        <v>10</v>
      </c>
      <c r="K8" s="56">
        <v>11</v>
      </c>
      <c r="L8" s="48">
        <v>12</v>
      </c>
      <c r="M8" s="48">
        <v>13</v>
      </c>
      <c r="N8" s="48">
        <v>14</v>
      </c>
      <c r="O8" s="58">
        <v>15</v>
      </c>
    </row>
    <row r="9" spans="1:18" ht="27" customHeight="1">
      <c r="A9" s="51">
        <v>1</v>
      </c>
      <c r="B9" s="39" t="s">
        <v>3</v>
      </c>
      <c r="C9" s="52" t="s">
        <v>4</v>
      </c>
      <c r="D9" s="113">
        <f>D10+D11+D12+D13+D14+D15+D16+D17</f>
        <v>11615</v>
      </c>
      <c r="E9" s="86">
        <f aca="true" t="shared" si="0" ref="E9:K9">E10+E11+E12+E13+E14+E15+E16+E17</f>
        <v>15882.1</v>
      </c>
      <c r="F9" s="113">
        <f t="shared" si="0"/>
        <v>12742</v>
      </c>
      <c r="G9" s="86">
        <f t="shared" si="0"/>
        <v>7408</v>
      </c>
      <c r="H9" s="86">
        <f t="shared" si="0"/>
        <v>12736</v>
      </c>
      <c r="I9" s="86">
        <f t="shared" si="0"/>
        <v>13348</v>
      </c>
      <c r="J9" s="89">
        <f>I9/(F9+1E-133)*100-100</f>
        <v>4.76</v>
      </c>
      <c r="K9" s="113">
        <f t="shared" si="0"/>
        <v>13348</v>
      </c>
      <c r="L9" s="88">
        <f aca="true" t="shared" si="1" ref="L9:L18">K9/(F9+1E-106)*100-100</f>
        <v>4.8</v>
      </c>
      <c r="M9" s="89">
        <f aca="true" t="shared" si="2" ref="M9:M18">K9-I9</f>
        <v>0</v>
      </c>
      <c r="N9" s="86"/>
      <c r="O9" s="468"/>
      <c r="P9" s="3"/>
      <c r="Q9" s="3"/>
      <c r="R9" s="8"/>
    </row>
    <row r="10" spans="1:18" ht="14.25" customHeight="1">
      <c r="A10" s="1"/>
      <c r="B10" s="40" t="s">
        <v>193</v>
      </c>
      <c r="C10" s="31" t="s">
        <v>4</v>
      </c>
      <c r="D10" s="98">
        <v>11615</v>
      </c>
      <c r="E10" s="91">
        <v>15882.1</v>
      </c>
      <c r="F10" s="98">
        <v>12742</v>
      </c>
      <c r="G10" s="91">
        <v>7408</v>
      </c>
      <c r="H10" s="91">
        <v>12736</v>
      </c>
      <c r="I10" s="91">
        <v>13348</v>
      </c>
      <c r="J10" s="91">
        <f>I10/(F10+1E-133)*100-100</f>
        <v>4.76</v>
      </c>
      <c r="K10" s="100">
        <v>13348</v>
      </c>
      <c r="L10" s="90">
        <f t="shared" si="1"/>
        <v>4.8</v>
      </c>
      <c r="M10" s="91">
        <f t="shared" si="2"/>
        <v>0</v>
      </c>
      <c r="N10" s="92"/>
      <c r="O10" s="468"/>
      <c r="P10" s="3"/>
      <c r="Q10" s="3"/>
      <c r="R10" s="8"/>
    </row>
    <row r="11" spans="1:18" ht="17.25" customHeight="1" hidden="1">
      <c r="A11" s="1"/>
      <c r="B11" s="40" t="s">
        <v>87</v>
      </c>
      <c r="C11" s="31" t="s">
        <v>4</v>
      </c>
      <c r="D11" s="98"/>
      <c r="E11" s="91"/>
      <c r="F11" s="98"/>
      <c r="G11" s="91"/>
      <c r="H11" s="91"/>
      <c r="I11" s="91"/>
      <c r="J11" s="91">
        <f aca="true" t="shared" si="3" ref="J11:J130">I11/(F11+1E-133)*100-100</f>
        <v>-100</v>
      </c>
      <c r="K11" s="98"/>
      <c r="L11" s="90">
        <f t="shared" si="1"/>
        <v>-100</v>
      </c>
      <c r="M11" s="91">
        <f t="shared" si="2"/>
        <v>0</v>
      </c>
      <c r="N11" s="92"/>
      <c r="O11" s="468"/>
      <c r="P11" s="3"/>
      <c r="Q11" s="3"/>
      <c r="R11" s="8"/>
    </row>
    <row r="12" spans="1:18" ht="17.25" customHeight="1" hidden="1">
      <c r="A12" s="1"/>
      <c r="B12" s="40" t="s">
        <v>88</v>
      </c>
      <c r="C12" s="31" t="s">
        <v>4</v>
      </c>
      <c r="D12" s="98"/>
      <c r="E12" s="91"/>
      <c r="F12" s="98"/>
      <c r="G12" s="91"/>
      <c r="H12" s="91"/>
      <c r="I12" s="91"/>
      <c r="J12" s="91">
        <f t="shared" si="3"/>
        <v>-100</v>
      </c>
      <c r="K12" s="98"/>
      <c r="L12" s="90">
        <f t="shared" si="1"/>
        <v>-100</v>
      </c>
      <c r="M12" s="91">
        <f t="shared" si="2"/>
        <v>0</v>
      </c>
      <c r="N12" s="92"/>
      <c r="O12" s="158"/>
      <c r="P12" s="3"/>
      <c r="Q12" s="3"/>
      <c r="R12" s="8"/>
    </row>
    <row r="13" spans="1:18" ht="17.25" customHeight="1" hidden="1">
      <c r="A13" s="1"/>
      <c r="B13" s="40" t="s">
        <v>89</v>
      </c>
      <c r="C13" s="31" t="s">
        <v>4</v>
      </c>
      <c r="D13" s="98"/>
      <c r="E13" s="91"/>
      <c r="F13" s="98"/>
      <c r="G13" s="91"/>
      <c r="H13" s="91"/>
      <c r="I13" s="91"/>
      <c r="J13" s="91"/>
      <c r="K13" s="98"/>
      <c r="L13" s="90">
        <f t="shared" si="1"/>
        <v>-100</v>
      </c>
      <c r="M13" s="91">
        <f t="shared" si="2"/>
        <v>0</v>
      </c>
      <c r="N13" s="92"/>
      <c r="O13" s="159"/>
      <c r="P13" s="3"/>
      <c r="Q13" s="3"/>
      <c r="R13" s="8"/>
    </row>
    <row r="14" spans="1:18" ht="17.25" customHeight="1" hidden="1">
      <c r="A14" s="1"/>
      <c r="B14" s="40" t="s">
        <v>90</v>
      </c>
      <c r="C14" s="31" t="s">
        <v>4</v>
      </c>
      <c r="D14" s="98"/>
      <c r="E14" s="91"/>
      <c r="F14" s="98"/>
      <c r="G14" s="91"/>
      <c r="H14" s="91"/>
      <c r="I14" s="91"/>
      <c r="J14" s="91">
        <f t="shared" si="3"/>
        <v>-100</v>
      </c>
      <c r="K14" s="98"/>
      <c r="L14" s="90">
        <f t="shared" si="1"/>
        <v>-100</v>
      </c>
      <c r="M14" s="91">
        <f t="shared" si="2"/>
        <v>0</v>
      </c>
      <c r="N14" s="92"/>
      <c r="O14" s="159"/>
      <c r="P14" s="3"/>
      <c r="Q14" s="3"/>
      <c r="R14" s="8"/>
    </row>
    <row r="15" spans="1:18" ht="17.25" customHeight="1" hidden="1">
      <c r="A15" s="1"/>
      <c r="B15" s="40" t="s">
        <v>91</v>
      </c>
      <c r="C15" s="31" t="s">
        <v>4</v>
      </c>
      <c r="D15" s="98"/>
      <c r="E15" s="91"/>
      <c r="F15" s="98"/>
      <c r="G15" s="91"/>
      <c r="H15" s="91"/>
      <c r="I15" s="91"/>
      <c r="J15" s="91">
        <f t="shared" si="3"/>
        <v>-100</v>
      </c>
      <c r="K15" s="98"/>
      <c r="L15" s="90">
        <f t="shared" si="1"/>
        <v>-100</v>
      </c>
      <c r="M15" s="91">
        <f t="shared" si="2"/>
        <v>0</v>
      </c>
      <c r="N15" s="92"/>
      <c r="O15" s="159"/>
      <c r="P15" s="3"/>
      <c r="Q15" s="3"/>
      <c r="R15" s="8"/>
    </row>
    <row r="16" spans="1:18" ht="17.25" customHeight="1" hidden="1">
      <c r="A16" s="1"/>
      <c r="B16" s="40" t="s">
        <v>92</v>
      </c>
      <c r="C16" s="31" t="s">
        <v>4</v>
      </c>
      <c r="D16" s="98"/>
      <c r="E16" s="91"/>
      <c r="F16" s="98"/>
      <c r="G16" s="91"/>
      <c r="H16" s="91"/>
      <c r="I16" s="91"/>
      <c r="J16" s="91">
        <f t="shared" si="3"/>
        <v>-100</v>
      </c>
      <c r="K16" s="98"/>
      <c r="L16" s="90">
        <f t="shared" si="1"/>
        <v>-100</v>
      </c>
      <c r="M16" s="91">
        <f t="shared" si="2"/>
        <v>0</v>
      </c>
      <c r="N16" s="92"/>
      <c r="O16" s="159"/>
      <c r="P16" s="3"/>
      <c r="Q16" s="3"/>
      <c r="R16" s="8"/>
    </row>
    <row r="17" spans="1:18" ht="16.5" customHeight="1" hidden="1">
      <c r="A17" s="1"/>
      <c r="B17" s="40" t="s">
        <v>102</v>
      </c>
      <c r="C17" s="31" t="s">
        <v>4</v>
      </c>
      <c r="D17" s="98"/>
      <c r="E17" s="91"/>
      <c r="F17" s="98"/>
      <c r="G17" s="91"/>
      <c r="H17" s="91"/>
      <c r="I17" s="91"/>
      <c r="J17" s="91">
        <f t="shared" si="3"/>
        <v>-100</v>
      </c>
      <c r="K17" s="98"/>
      <c r="L17" s="90">
        <f t="shared" si="1"/>
        <v>-100</v>
      </c>
      <c r="M17" s="91">
        <f t="shared" si="2"/>
        <v>0</v>
      </c>
      <c r="N17" s="92"/>
      <c r="O17" s="159"/>
      <c r="P17" s="3"/>
      <c r="Q17" s="3"/>
      <c r="R17" s="8"/>
    </row>
    <row r="18" spans="1:18" ht="14.25" customHeight="1">
      <c r="A18" s="51">
        <v>2</v>
      </c>
      <c r="B18" s="40" t="s">
        <v>26</v>
      </c>
      <c r="C18" s="31" t="s">
        <v>4</v>
      </c>
      <c r="D18" s="98">
        <v>360</v>
      </c>
      <c r="E18" s="91">
        <v>493</v>
      </c>
      <c r="F18" s="98">
        <v>395</v>
      </c>
      <c r="G18" s="91">
        <v>229.7</v>
      </c>
      <c r="H18" s="91">
        <v>394.8</v>
      </c>
      <c r="I18" s="91">
        <v>413.7</v>
      </c>
      <c r="J18" s="91">
        <f t="shared" si="3"/>
        <v>4.73</v>
      </c>
      <c r="K18" s="100">
        <v>266.77</v>
      </c>
      <c r="L18" s="90">
        <f t="shared" si="1"/>
        <v>-32.5</v>
      </c>
      <c r="M18" s="91">
        <f t="shared" si="2"/>
        <v>-146.93</v>
      </c>
      <c r="N18" s="92"/>
      <c r="O18" s="159"/>
      <c r="P18" s="3"/>
      <c r="Q18" s="3"/>
      <c r="R18" s="8"/>
    </row>
    <row r="19" spans="1:18" ht="14.25" customHeight="1">
      <c r="A19" s="1"/>
      <c r="B19" s="40" t="s">
        <v>26</v>
      </c>
      <c r="C19" s="31" t="s">
        <v>5</v>
      </c>
      <c r="D19" s="105">
        <f aca="true" t="shared" si="4" ref="D19:I19">D18/(D9+1E-124)*100</f>
        <v>3.1</v>
      </c>
      <c r="E19" s="107">
        <f t="shared" si="4"/>
        <v>3.1</v>
      </c>
      <c r="F19" s="105">
        <f>F18/(F9+1E-124)*100</f>
        <v>3.1</v>
      </c>
      <c r="G19" s="107">
        <f t="shared" si="4"/>
        <v>3.1</v>
      </c>
      <c r="H19" s="107">
        <f t="shared" si="4"/>
        <v>3.1</v>
      </c>
      <c r="I19" s="107">
        <f t="shared" si="4"/>
        <v>3.1</v>
      </c>
      <c r="J19" s="99"/>
      <c r="K19" s="105">
        <f>K18/(K9+1E-124)*100</f>
        <v>2</v>
      </c>
      <c r="L19" s="90"/>
      <c r="M19" s="91"/>
      <c r="N19" s="92"/>
      <c r="O19" s="158"/>
      <c r="Q19" s="7"/>
      <c r="R19" s="9"/>
    </row>
    <row r="20" spans="1:18" ht="24" customHeight="1" hidden="1">
      <c r="A20" s="51">
        <v>3</v>
      </c>
      <c r="B20" s="39" t="s">
        <v>112</v>
      </c>
      <c r="C20" s="52" t="s">
        <v>4</v>
      </c>
      <c r="D20" s="126"/>
      <c r="E20" s="144"/>
      <c r="F20" s="126"/>
      <c r="G20" s="144"/>
      <c r="H20" s="144"/>
      <c r="I20" s="144"/>
      <c r="J20" s="89">
        <f>I20/(F20+1E-133)*100-100</f>
        <v>-100</v>
      </c>
      <c r="K20" s="145"/>
      <c r="L20" s="88">
        <f>K20/(F20+1E-106)*100-100</f>
        <v>-100</v>
      </c>
      <c r="M20" s="89">
        <f>K20-I20</f>
        <v>0</v>
      </c>
      <c r="N20" s="86"/>
      <c r="O20" s="453"/>
      <c r="Q20" s="7"/>
      <c r="R20" s="9"/>
    </row>
    <row r="21" spans="1:18" ht="19.5" customHeight="1">
      <c r="A21" s="51">
        <v>4</v>
      </c>
      <c r="B21" s="39" t="s">
        <v>31</v>
      </c>
      <c r="C21" s="52" t="s">
        <v>4</v>
      </c>
      <c r="D21" s="113">
        <f aca="true" t="shared" si="5" ref="D21:I21">D9-D18+D20</f>
        <v>11255</v>
      </c>
      <c r="E21" s="86">
        <f t="shared" si="5"/>
        <v>15389.1</v>
      </c>
      <c r="F21" s="113">
        <f t="shared" si="5"/>
        <v>12347</v>
      </c>
      <c r="G21" s="86">
        <f t="shared" si="5"/>
        <v>7178.3</v>
      </c>
      <c r="H21" s="86">
        <f t="shared" si="5"/>
        <v>12341.2</v>
      </c>
      <c r="I21" s="89">
        <f t="shared" si="5"/>
        <v>12934.3</v>
      </c>
      <c r="J21" s="89">
        <f t="shared" si="3"/>
        <v>4.76</v>
      </c>
      <c r="K21" s="145">
        <v>12934.3</v>
      </c>
      <c r="L21" s="88">
        <f>K21/(F21+1E-106)*100-100</f>
        <v>4.8</v>
      </c>
      <c r="M21" s="89">
        <f>K21-I21</f>
        <v>0</v>
      </c>
      <c r="N21" s="86"/>
      <c r="O21" s="454"/>
      <c r="Q21" s="7"/>
      <c r="R21" s="9"/>
    </row>
    <row r="22" spans="1:18" ht="12.75" customHeight="1">
      <c r="A22" s="51">
        <v>5</v>
      </c>
      <c r="B22" s="40" t="s">
        <v>32</v>
      </c>
      <c r="C22" s="31" t="s">
        <v>4</v>
      </c>
      <c r="D22" s="105">
        <f>D21-D24</f>
        <v>1022</v>
      </c>
      <c r="E22" s="92">
        <f>E21-E24</f>
        <v>4163</v>
      </c>
      <c r="F22" s="105">
        <f>F21-F24</f>
        <v>1111</v>
      </c>
      <c r="G22" s="92">
        <f>G21-G24</f>
        <v>2113</v>
      </c>
      <c r="H22" s="92">
        <f>H21-H24</f>
        <v>1115.1</v>
      </c>
      <c r="I22" s="91">
        <v>1110.28</v>
      </c>
      <c r="J22" s="91">
        <f t="shared" si="3"/>
        <v>-0.06</v>
      </c>
      <c r="K22" s="100">
        <v>1110.28</v>
      </c>
      <c r="L22" s="90">
        <f>K22/(F22+1E-106)*100-100</f>
        <v>-0.1</v>
      </c>
      <c r="M22" s="91">
        <f>K22-I22</f>
        <v>0</v>
      </c>
      <c r="N22" s="92"/>
      <c r="O22" s="454"/>
      <c r="Q22" s="7"/>
      <c r="R22" s="9"/>
    </row>
    <row r="23" spans="1:18" ht="12.75" customHeight="1">
      <c r="A23" s="1"/>
      <c r="B23" s="40" t="s">
        <v>32</v>
      </c>
      <c r="C23" s="31" t="s">
        <v>5</v>
      </c>
      <c r="D23" s="105">
        <f aca="true" t="shared" si="6" ref="D23:I23">D22/(D21+1E-144)*100</f>
        <v>9.08</v>
      </c>
      <c r="E23" s="107">
        <f t="shared" si="6"/>
        <v>27.05</v>
      </c>
      <c r="F23" s="105">
        <f>F22/(F21+1E-144)*100</f>
        <v>9</v>
      </c>
      <c r="G23" s="107">
        <f t="shared" si="6"/>
        <v>29.44</v>
      </c>
      <c r="H23" s="107">
        <f t="shared" si="6"/>
        <v>9.04</v>
      </c>
      <c r="I23" s="176">
        <f t="shared" si="6"/>
        <v>9</v>
      </c>
      <c r="J23" s="99"/>
      <c r="K23" s="105">
        <f>K22/(K21+1E-144)*100</f>
        <v>8.58</v>
      </c>
      <c r="L23" s="90"/>
      <c r="M23" s="91"/>
      <c r="N23" s="92"/>
      <c r="O23" s="455"/>
      <c r="Q23" s="7"/>
      <c r="R23" s="9"/>
    </row>
    <row r="24" spans="1:18" ht="11.25" customHeight="1">
      <c r="A24" s="51">
        <v>6</v>
      </c>
      <c r="B24" s="39" t="s">
        <v>6</v>
      </c>
      <c r="C24" s="52" t="s">
        <v>4</v>
      </c>
      <c r="D24" s="126">
        <v>10233</v>
      </c>
      <c r="E24" s="112">
        <f>C217</f>
        <v>11226.1</v>
      </c>
      <c r="F24" s="113">
        <f>E217</f>
        <v>11236</v>
      </c>
      <c r="G24" s="112">
        <f>F217</f>
        <v>5065.3</v>
      </c>
      <c r="H24" s="112">
        <f>G217</f>
        <v>11226.1</v>
      </c>
      <c r="I24" s="112">
        <f>H217</f>
        <v>11824.02</v>
      </c>
      <c r="J24" s="89">
        <f t="shared" si="3"/>
        <v>5.23</v>
      </c>
      <c r="K24" s="146">
        <f>H217</f>
        <v>11824.02</v>
      </c>
      <c r="L24" s="88">
        <f>K24/(F24+1E-106)*100-100</f>
        <v>5.2</v>
      </c>
      <c r="M24" s="89">
        <f>K24-I24</f>
        <v>0</v>
      </c>
      <c r="N24" s="86"/>
      <c r="O24" s="158"/>
      <c r="Q24" s="7"/>
      <c r="R24" s="9"/>
    </row>
    <row r="25" spans="1:18" ht="13.5" customHeight="1">
      <c r="A25" s="51">
        <v>7</v>
      </c>
      <c r="B25" s="39" t="s">
        <v>7</v>
      </c>
      <c r="C25" s="31"/>
      <c r="D25" s="97"/>
      <c r="E25" s="96"/>
      <c r="F25" s="97"/>
      <c r="G25" s="96"/>
      <c r="H25" s="96"/>
      <c r="I25" s="96"/>
      <c r="J25" s="90"/>
      <c r="K25" s="97"/>
      <c r="L25" s="90"/>
      <c r="M25" s="91"/>
      <c r="N25" s="92"/>
      <c r="O25" s="158"/>
      <c r="Q25" s="7"/>
      <c r="R25" s="9"/>
    </row>
    <row r="26" spans="1:18" ht="13.5" customHeight="1">
      <c r="A26" s="1" t="s">
        <v>62</v>
      </c>
      <c r="B26" s="39" t="s">
        <v>76</v>
      </c>
      <c r="C26" s="31"/>
      <c r="D26" s="97"/>
      <c r="E26" s="96"/>
      <c r="F26" s="97"/>
      <c r="G26" s="96"/>
      <c r="H26" s="96"/>
      <c r="I26" s="95"/>
      <c r="J26" s="90"/>
      <c r="K26" s="97"/>
      <c r="L26" s="90"/>
      <c r="M26" s="91"/>
      <c r="N26" s="92"/>
      <c r="O26" s="158"/>
      <c r="Q26" s="7"/>
      <c r="R26" s="9"/>
    </row>
    <row r="27" spans="1:18" ht="21.75" customHeight="1">
      <c r="A27" s="1"/>
      <c r="B27" s="41" t="s">
        <v>49</v>
      </c>
      <c r="C27" s="31" t="s">
        <v>73</v>
      </c>
      <c r="D27" s="98">
        <v>163.3</v>
      </c>
      <c r="E27" s="92">
        <f>E29*1000*E28/(E10+1E-94)</f>
        <v>156.08</v>
      </c>
      <c r="F27" s="98">
        <v>163.3</v>
      </c>
      <c r="G27" s="92">
        <f>G29*1000*G28/(G10+1E-94)</f>
        <v>156.97</v>
      </c>
      <c r="H27" s="92">
        <f>H29*1000*H28/(H10+1E-94)</f>
        <v>163.38</v>
      </c>
      <c r="I27" s="99">
        <v>163.3</v>
      </c>
      <c r="J27" s="90">
        <f t="shared" si="3"/>
        <v>0</v>
      </c>
      <c r="K27" s="100">
        <v>163.3</v>
      </c>
      <c r="L27" s="90">
        <f>K27/(F27+1E-106)*100-100</f>
        <v>0</v>
      </c>
      <c r="M27" s="91">
        <f>K27-I27</f>
        <v>0</v>
      </c>
      <c r="N27" s="92"/>
      <c r="O27" s="160"/>
      <c r="Q27" s="7"/>
      <c r="R27" s="9"/>
    </row>
    <row r="28" spans="1:18" ht="12.75">
      <c r="A28" s="1"/>
      <c r="B28" s="41" t="s">
        <v>93</v>
      </c>
      <c r="C28" s="42"/>
      <c r="D28" s="102">
        <v>1.129</v>
      </c>
      <c r="E28" s="101">
        <v>1.129</v>
      </c>
      <c r="F28" s="102">
        <v>1.129</v>
      </c>
      <c r="G28" s="103">
        <v>1.129</v>
      </c>
      <c r="H28" s="103">
        <v>1.129</v>
      </c>
      <c r="I28" s="103">
        <v>1.129</v>
      </c>
      <c r="J28" s="90"/>
      <c r="K28" s="104">
        <v>1.129</v>
      </c>
      <c r="L28" s="90"/>
      <c r="M28" s="91"/>
      <c r="N28" s="92"/>
      <c r="O28" s="160"/>
      <c r="Q28" s="7"/>
      <c r="R28" s="9"/>
    </row>
    <row r="29" spans="1:18" ht="23.25" customHeight="1">
      <c r="A29" s="1"/>
      <c r="B29" s="40" t="s">
        <v>50</v>
      </c>
      <c r="C29" s="31" t="s">
        <v>80</v>
      </c>
      <c r="D29" s="105">
        <f>D27/(D28+1E-97)*D10/1000</f>
        <v>1680.01</v>
      </c>
      <c r="E29" s="91">
        <v>2195.7</v>
      </c>
      <c r="F29" s="105">
        <f>F27/(F28+1E-97)*F10/1000</f>
        <v>1843.02</v>
      </c>
      <c r="G29" s="91">
        <v>1030</v>
      </c>
      <c r="H29" s="91">
        <v>1843</v>
      </c>
      <c r="I29" s="92">
        <f>I27/(I28+1E-97)*I10/1000</f>
        <v>1930.67</v>
      </c>
      <c r="J29" s="90">
        <f t="shared" si="3"/>
        <v>4.8</v>
      </c>
      <c r="K29" s="105">
        <f>K27/(K28+1E-97)*K10/1000</f>
        <v>1930.67</v>
      </c>
      <c r="L29" s="90">
        <f>K29/(F29+1E-106)*100-100</f>
        <v>4.8</v>
      </c>
      <c r="M29" s="91">
        <f>K29-I29</f>
        <v>0</v>
      </c>
      <c r="N29" s="92"/>
      <c r="O29" s="160"/>
      <c r="Q29" s="7"/>
      <c r="R29" s="9"/>
    </row>
    <row r="30" spans="1:18" ht="12.75">
      <c r="A30" s="1"/>
      <c r="B30" s="40" t="s">
        <v>30</v>
      </c>
      <c r="C30" s="31" t="s">
        <v>81</v>
      </c>
      <c r="D30" s="98">
        <v>2121.96</v>
      </c>
      <c r="E30" s="92">
        <f>E133/(E29+1E-103)*1000</f>
        <v>2062.55</v>
      </c>
      <c r="F30" s="98">
        <v>2689.34</v>
      </c>
      <c r="G30" s="92">
        <f>G133/(G29+1E-103)*1000</f>
        <v>2652.04</v>
      </c>
      <c r="H30" s="92">
        <f>H133/(H29+1E-103)*1000</f>
        <v>3197.78</v>
      </c>
      <c r="I30" s="91">
        <v>3092.7</v>
      </c>
      <c r="J30" s="90">
        <f t="shared" si="3"/>
        <v>15</v>
      </c>
      <c r="K30" s="98">
        <v>3092.7</v>
      </c>
      <c r="L30" s="90">
        <f>K30/(F30+1E-106)*100-100</f>
        <v>15</v>
      </c>
      <c r="M30" s="91">
        <f>K30-I30</f>
        <v>0</v>
      </c>
      <c r="N30" s="92"/>
      <c r="O30" s="160"/>
      <c r="Q30" s="7"/>
      <c r="R30" s="9"/>
    </row>
    <row r="31" spans="1:18" ht="15.75" customHeight="1">
      <c r="A31" s="1"/>
      <c r="B31" s="43" t="s">
        <v>77</v>
      </c>
      <c r="C31" s="31" t="s">
        <v>81</v>
      </c>
      <c r="D31" s="98">
        <v>260.07</v>
      </c>
      <c r="E31" s="91">
        <v>287.84</v>
      </c>
      <c r="F31" s="98">
        <v>260.07</v>
      </c>
      <c r="G31" s="91">
        <v>337.21</v>
      </c>
      <c r="H31" s="91">
        <v>337.21</v>
      </c>
      <c r="I31" s="91">
        <v>386.97</v>
      </c>
      <c r="J31" s="90">
        <f t="shared" si="3"/>
        <v>48.8</v>
      </c>
      <c r="K31" s="98">
        <v>386.97</v>
      </c>
      <c r="L31" s="90">
        <f>K31/(F31+1E-106)*100-100</f>
        <v>48.8</v>
      </c>
      <c r="M31" s="91">
        <f>K31-I31</f>
        <v>0</v>
      </c>
      <c r="N31" s="92"/>
      <c r="O31" s="160"/>
      <c r="Q31" s="7"/>
      <c r="R31" s="9"/>
    </row>
    <row r="32" spans="1:18" ht="37.5" customHeight="1" hidden="1">
      <c r="A32" s="1" t="s">
        <v>62</v>
      </c>
      <c r="B32" s="39" t="s">
        <v>75</v>
      </c>
      <c r="C32" s="31"/>
      <c r="D32" s="94"/>
      <c r="E32" s="93"/>
      <c r="F32" s="94"/>
      <c r="G32" s="93"/>
      <c r="H32" s="93"/>
      <c r="I32" s="106"/>
      <c r="J32" s="90"/>
      <c r="K32" s="94"/>
      <c r="L32" s="90"/>
      <c r="M32" s="91"/>
      <c r="N32" s="92"/>
      <c r="O32" s="160"/>
      <c r="Q32" s="7"/>
      <c r="R32" s="9"/>
    </row>
    <row r="33" spans="1:18" ht="37.5" customHeight="1" hidden="1">
      <c r="A33" s="1"/>
      <c r="B33" s="41" t="s">
        <v>49</v>
      </c>
      <c r="C33" s="31" t="s">
        <v>73</v>
      </c>
      <c r="D33" s="98">
        <v>260</v>
      </c>
      <c r="E33" s="92">
        <f>E35*1000*E34/(E11+1E-99)</f>
        <v>0</v>
      </c>
      <c r="F33" s="98">
        <v>271.66</v>
      </c>
      <c r="G33" s="92">
        <f>G35*1000*G34/(G11+1E-99)</f>
        <v>0</v>
      </c>
      <c r="H33" s="92">
        <f>H35*1000*H34/(H11+1E-99)</f>
        <v>0</v>
      </c>
      <c r="I33" s="99">
        <v>271.66</v>
      </c>
      <c r="J33" s="90">
        <f t="shared" si="3"/>
        <v>0</v>
      </c>
      <c r="K33" s="98">
        <v>0</v>
      </c>
      <c r="L33" s="90">
        <f>K33/(F33+1E-106)*100-100</f>
        <v>-100</v>
      </c>
      <c r="M33" s="91">
        <f>K33-I33</f>
        <v>-271.66</v>
      </c>
      <c r="N33" s="92"/>
      <c r="O33" s="160"/>
      <c r="Q33" s="7"/>
      <c r="R33" s="9"/>
    </row>
    <row r="34" spans="1:18" ht="37.5" customHeight="1" hidden="1">
      <c r="A34" s="1"/>
      <c r="B34" s="41" t="s">
        <v>93</v>
      </c>
      <c r="C34" s="31"/>
      <c r="D34" s="102">
        <v>0.764</v>
      </c>
      <c r="E34" s="101">
        <v>0.764</v>
      </c>
      <c r="F34" s="102">
        <v>0.638</v>
      </c>
      <c r="G34" s="103">
        <v>0.599</v>
      </c>
      <c r="H34" s="103">
        <v>0.599</v>
      </c>
      <c r="I34" s="103">
        <v>0.638</v>
      </c>
      <c r="J34" s="90"/>
      <c r="K34" s="102"/>
      <c r="L34" s="90"/>
      <c r="M34" s="91"/>
      <c r="N34" s="92"/>
      <c r="O34" s="160"/>
      <c r="Q34" s="7"/>
      <c r="R34" s="9"/>
    </row>
    <row r="35" spans="1:18" ht="37.5" customHeight="1" hidden="1">
      <c r="A35" s="1"/>
      <c r="B35" s="40" t="s">
        <v>50</v>
      </c>
      <c r="C35" s="31" t="s">
        <v>79</v>
      </c>
      <c r="D35" s="105">
        <f>D33/(D34+1E-100)*D11/1000</f>
        <v>0</v>
      </c>
      <c r="E35" s="91"/>
      <c r="F35" s="105">
        <f>F33/(F34+1E-100)*F11/1000</f>
        <v>0</v>
      </c>
      <c r="G35" s="91"/>
      <c r="H35" s="91"/>
      <c r="I35" s="92">
        <f>I33/(I34+1E-100)*I11/1000</f>
        <v>0</v>
      </c>
      <c r="J35" s="90">
        <f t="shared" si="3"/>
        <v>-100</v>
      </c>
      <c r="K35" s="105">
        <f>K33/(K34+1E-100)*K11/1000</f>
        <v>0</v>
      </c>
      <c r="L35" s="90">
        <f>K35/(F35+1E-106)*100-100</f>
        <v>-100</v>
      </c>
      <c r="M35" s="91">
        <f>K35-I35</f>
        <v>0</v>
      </c>
      <c r="N35" s="92"/>
      <c r="O35" s="160"/>
      <c r="Q35" s="7"/>
      <c r="R35" s="9"/>
    </row>
    <row r="36" spans="1:18" ht="37.5" customHeight="1" hidden="1">
      <c r="A36" s="1"/>
      <c r="B36" s="40" t="s">
        <v>30</v>
      </c>
      <c r="C36" s="31" t="s">
        <v>78</v>
      </c>
      <c r="D36" s="98">
        <v>2779.44</v>
      </c>
      <c r="E36" s="92">
        <f>E134/(E35+1E-102)*1000</f>
        <v>0</v>
      </c>
      <c r="F36" s="98">
        <v>2779.44</v>
      </c>
      <c r="G36" s="92">
        <f>G134/(G35+1E-102)*1000</f>
        <v>0</v>
      </c>
      <c r="H36" s="92">
        <f>H134/(H35+1E-102)*1000</f>
        <v>0</v>
      </c>
      <c r="I36" s="91">
        <v>3038</v>
      </c>
      <c r="J36" s="90">
        <f t="shared" si="3"/>
        <v>9.3</v>
      </c>
      <c r="K36" s="98"/>
      <c r="L36" s="90">
        <f>K36/(F36+1E-106)*100-100</f>
        <v>-100</v>
      </c>
      <c r="M36" s="91">
        <f>K36-I36</f>
        <v>-3038</v>
      </c>
      <c r="N36" s="92"/>
      <c r="O36" s="160"/>
      <c r="Q36" s="7"/>
      <c r="R36" s="9"/>
    </row>
    <row r="37" spans="1:18" ht="37.5" customHeight="1" hidden="1">
      <c r="A37" s="1"/>
      <c r="B37" s="43" t="s">
        <v>77</v>
      </c>
      <c r="C37" s="31" t="s">
        <v>78</v>
      </c>
      <c r="D37" s="98"/>
      <c r="E37" s="91"/>
      <c r="F37" s="98"/>
      <c r="G37" s="91"/>
      <c r="H37" s="91"/>
      <c r="I37" s="91"/>
      <c r="J37" s="90">
        <f t="shared" si="3"/>
        <v>-100</v>
      </c>
      <c r="K37" s="98"/>
      <c r="L37" s="90">
        <f>K37/(F37+1E-106)*100-100</f>
        <v>-100</v>
      </c>
      <c r="M37" s="91">
        <f>K37-I37</f>
        <v>0</v>
      </c>
      <c r="N37" s="92"/>
      <c r="O37" s="160"/>
      <c r="Q37" s="7"/>
      <c r="R37" s="9"/>
    </row>
    <row r="38" spans="1:18" ht="37.5" customHeight="1" hidden="1">
      <c r="A38" s="1" t="s">
        <v>62</v>
      </c>
      <c r="B38" s="39" t="s">
        <v>82</v>
      </c>
      <c r="C38" s="31"/>
      <c r="D38" s="94"/>
      <c r="E38" s="93"/>
      <c r="F38" s="94"/>
      <c r="G38" s="93"/>
      <c r="H38" s="93"/>
      <c r="I38" s="106"/>
      <c r="J38" s="90"/>
      <c r="K38" s="94"/>
      <c r="L38" s="90"/>
      <c r="M38" s="91"/>
      <c r="N38" s="92"/>
      <c r="O38" s="160"/>
      <c r="Q38" s="7"/>
      <c r="R38" s="9"/>
    </row>
    <row r="39" spans="1:18" ht="37.5" customHeight="1" hidden="1">
      <c r="A39" s="1"/>
      <c r="B39" s="41" t="s">
        <v>49</v>
      </c>
      <c r="C39" s="31" t="s">
        <v>73</v>
      </c>
      <c r="D39" s="98"/>
      <c r="E39" s="92">
        <f>E41*1000*E40/(E12+1E-97)</f>
        <v>0</v>
      </c>
      <c r="F39" s="98"/>
      <c r="G39" s="92">
        <f>G41*1000*G40/(G12+1E-97)</f>
        <v>0</v>
      </c>
      <c r="H39" s="92">
        <f>H41*1000*H40/(H12+1E-97)</f>
        <v>0</v>
      </c>
      <c r="I39" s="99"/>
      <c r="J39" s="90">
        <f t="shared" si="3"/>
        <v>-100</v>
      </c>
      <c r="K39" s="98"/>
      <c r="L39" s="90">
        <f>K39/(F39+1E-106)*100-100</f>
        <v>-100</v>
      </c>
      <c r="M39" s="91">
        <f>K39-I39</f>
        <v>0</v>
      </c>
      <c r="N39" s="92"/>
      <c r="O39" s="160"/>
      <c r="Q39" s="7"/>
      <c r="R39" s="9"/>
    </row>
    <row r="40" spans="1:18" ht="37.5" customHeight="1" hidden="1">
      <c r="A40" s="1"/>
      <c r="B40" s="41" t="s">
        <v>93</v>
      </c>
      <c r="C40" s="31"/>
      <c r="D40" s="102"/>
      <c r="E40" s="101"/>
      <c r="F40" s="102"/>
      <c r="G40" s="103"/>
      <c r="H40" s="103"/>
      <c r="I40" s="103"/>
      <c r="J40" s="90"/>
      <c r="K40" s="102"/>
      <c r="L40" s="90"/>
      <c r="M40" s="91"/>
      <c r="N40" s="92"/>
      <c r="O40" s="160"/>
      <c r="Q40" s="7"/>
      <c r="R40" s="9"/>
    </row>
    <row r="41" spans="1:18" ht="37.5" customHeight="1" hidden="1">
      <c r="A41" s="1"/>
      <c r="B41" s="40" t="s">
        <v>50</v>
      </c>
      <c r="C41" s="31" t="s">
        <v>79</v>
      </c>
      <c r="D41" s="105">
        <f>D39/(D40+1E-102)*D12/1000</f>
        <v>0</v>
      </c>
      <c r="E41" s="91"/>
      <c r="F41" s="105">
        <f>F39/(F40+1E-102)*F12/1000</f>
        <v>0</v>
      </c>
      <c r="G41" s="91"/>
      <c r="H41" s="91"/>
      <c r="I41" s="92">
        <f>I39/(I40+1E-102)*I12/1000</f>
        <v>0</v>
      </c>
      <c r="J41" s="90">
        <f t="shared" si="3"/>
        <v>-100</v>
      </c>
      <c r="K41" s="105">
        <f>K39/(K40+1E-102)*K12/1000</f>
        <v>0</v>
      </c>
      <c r="L41" s="90">
        <f>K41/(F41+1E-106)*100-100</f>
        <v>-100</v>
      </c>
      <c r="M41" s="91">
        <f>K41-I41</f>
        <v>0</v>
      </c>
      <c r="N41" s="92"/>
      <c r="O41" s="160"/>
      <c r="Q41" s="7"/>
      <c r="R41" s="9"/>
    </row>
    <row r="42" spans="1:18" ht="37.5" customHeight="1" hidden="1">
      <c r="A42" s="1"/>
      <c r="B42" s="40" t="s">
        <v>30</v>
      </c>
      <c r="C42" s="31" t="s">
        <v>78</v>
      </c>
      <c r="D42" s="98"/>
      <c r="E42" s="92">
        <f>E135/(E41+1E-103)*1000</f>
        <v>0</v>
      </c>
      <c r="F42" s="98"/>
      <c r="G42" s="92">
        <f>G135/(G41+1E-103)*1000</f>
        <v>0</v>
      </c>
      <c r="H42" s="92">
        <f>H135/(H41+1E-103)*1000</f>
        <v>0</v>
      </c>
      <c r="I42" s="91"/>
      <c r="J42" s="90">
        <f t="shared" si="3"/>
        <v>-100</v>
      </c>
      <c r="K42" s="98"/>
      <c r="L42" s="90">
        <f>K42/(F42+1E-106)*100-100</f>
        <v>-100</v>
      </c>
      <c r="M42" s="91">
        <f>K42-I42</f>
        <v>0</v>
      </c>
      <c r="N42" s="106"/>
      <c r="O42" s="160"/>
      <c r="Q42" s="7"/>
      <c r="R42" s="9"/>
    </row>
    <row r="43" spans="1:18" ht="37.5" customHeight="1" hidden="1">
      <c r="A43" s="1"/>
      <c r="B43" s="43" t="s">
        <v>77</v>
      </c>
      <c r="C43" s="31" t="s">
        <v>78</v>
      </c>
      <c r="D43" s="98"/>
      <c r="E43" s="91"/>
      <c r="F43" s="98"/>
      <c r="G43" s="91"/>
      <c r="H43" s="91"/>
      <c r="I43" s="91"/>
      <c r="J43" s="90">
        <f t="shared" si="3"/>
        <v>-100</v>
      </c>
      <c r="K43" s="98"/>
      <c r="L43" s="90">
        <f>K43/(F43+1E-106)*100-100</f>
        <v>-100</v>
      </c>
      <c r="M43" s="91">
        <f>K43-I43</f>
        <v>0</v>
      </c>
      <c r="N43" s="106"/>
      <c r="O43" s="160"/>
      <c r="Q43" s="7"/>
      <c r="R43" s="9"/>
    </row>
    <row r="44" spans="1:18" ht="37.5" customHeight="1" hidden="1">
      <c r="A44" s="1" t="s">
        <v>62</v>
      </c>
      <c r="B44" s="39" t="s">
        <v>84</v>
      </c>
      <c r="C44" s="31"/>
      <c r="D44" s="94"/>
      <c r="E44" s="93"/>
      <c r="F44" s="94"/>
      <c r="G44" s="93"/>
      <c r="H44" s="93"/>
      <c r="I44" s="106"/>
      <c r="J44" s="90"/>
      <c r="K44" s="94"/>
      <c r="L44" s="90"/>
      <c r="M44" s="91"/>
      <c r="N44" s="106"/>
      <c r="O44" s="160"/>
      <c r="Q44" s="7"/>
      <c r="R44" s="9"/>
    </row>
    <row r="45" spans="1:18" ht="37.5" customHeight="1" hidden="1">
      <c r="A45" s="1"/>
      <c r="B45" s="41" t="s">
        <v>49</v>
      </c>
      <c r="C45" s="31" t="s">
        <v>73</v>
      </c>
      <c r="D45" s="98"/>
      <c r="E45" s="92">
        <f>E47*1000*E46/(E13+1E-99)</f>
        <v>0</v>
      </c>
      <c r="F45" s="98"/>
      <c r="G45" s="92">
        <f>G47*1000*G46/(G13+1E-99)</f>
        <v>0</v>
      </c>
      <c r="H45" s="92">
        <f>H47*1000*H46/(H13+1E-99)</f>
        <v>0</v>
      </c>
      <c r="I45" s="99"/>
      <c r="J45" s="90">
        <f t="shared" si="3"/>
        <v>-100</v>
      </c>
      <c r="K45" s="98"/>
      <c r="L45" s="90">
        <f>K45/(F45+1E-106)*100-100</f>
        <v>-100</v>
      </c>
      <c r="M45" s="91">
        <f>K45-I45</f>
        <v>0</v>
      </c>
      <c r="N45" s="106"/>
      <c r="O45" s="160"/>
      <c r="Q45" s="7"/>
      <c r="R45" s="9"/>
    </row>
    <row r="46" spans="1:18" ht="37.5" customHeight="1" hidden="1">
      <c r="A46" s="1"/>
      <c r="B46" s="41" t="s">
        <v>93</v>
      </c>
      <c r="C46" s="31"/>
      <c r="D46" s="102"/>
      <c r="E46" s="101"/>
      <c r="F46" s="102"/>
      <c r="G46" s="103"/>
      <c r="H46" s="103"/>
      <c r="I46" s="103"/>
      <c r="J46" s="90"/>
      <c r="K46" s="102"/>
      <c r="L46" s="90"/>
      <c r="M46" s="91"/>
      <c r="N46" s="106"/>
      <c r="O46" s="160"/>
      <c r="Q46" s="7"/>
      <c r="R46" s="9"/>
    </row>
    <row r="47" spans="1:18" ht="37.5" customHeight="1" hidden="1">
      <c r="A47" s="1"/>
      <c r="B47" s="40" t="s">
        <v>50</v>
      </c>
      <c r="C47" s="31" t="s">
        <v>79</v>
      </c>
      <c r="D47" s="105">
        <f>D45/(D46+1E-105)*D13/1000</f>
        <v>0</v>
      </c>
      <c r="E47" s="91"/>
      <c r="F47" s="105">
        <f>F45/(F46+1E-105)*F13/1000</f>
        <v>0</v>
      </c>
      <c r="G47" s="91"/>
      <c r="H47" s="91"/>
      <c r="I47" s="92">
        <f>I45/(I46+1E-105)*I13/1000</f>
        <v>0</v>
      </c>
      <c r="J47" s="90">
        <f t="shared" si="3"/>
        <v>-100</v>
      </c>
      <c r="K47" s="105">
        <f>K45/(K46+1E-105)*K13/1000</f>
        <v>0</v>
      </c>
      <c r="L47" s="90">
        <f>K47/(F47+1E-106)*100-100</f>
        <v>-100</v>
      </c>
      <c r="M47" s="91">
        <f>K47-I47</f>
        <v>0</v>
      </c>
      <c r="N47" s="106"/>
      <c r="O47" s="160"/>
      <c r="Q47" s="7"/>
      <c r="R47" s="9"/>
    </row>
    <row r="48" spans="1:18" ht="37.5" customHeight="1" hidden="1">
      <c r="A48" s="1"/>
      <c r="B48" s="40" t="s">
        <v>30</v>
      </c>
      <c r="C48" s="31" t="s">
        <v>78</v>
      </c>
      <c r="D48" s="98"/>
      <c r="E48" s="92">
        <f>E136/(E47+1E-102)*1000</f>
        <v>0</v>
      </c>
      <c r="F48" s="98"/>
      <c r="G48" s="92">
        <f>G136/(G47+1E-102)*1000</f>
        <v>0</v>
      </c>
      <c r="H48" s="92">
        <f>H136/(H47+1E-102)*1000</f>
        <v>0</v>
      </c>
      <c r="I48" s="99"/>
      <c r="J48" s="90">
        <f t="shared" si="3"/>
        <v>-100</v>
      </c>
      <c r="K48" s="98"/>
      <c r="L48" s="90">
        <f>K48/(F48+1E-106)*100-100</f>
        <v>-100</v>
      </c>
      <c r="M48" s="91">
        <f>K48-I48</f>
        <v>0</v>
      </c>
      <c r="N48" s="106"/>
      <c r="O48" s="160"/>
      <c r="Q48" s="7"/>
      <c r="R48" s="9"/>
    </row>
    <row r="49" spans="1:18" ht="37.5" customHeight="1" hidden="1">
      <c r="A49" s="1"/>
      <c r="B49" s="43" t="s">
        <v>77</v>
      </c>
      <c r="C49" s="31" t="s">
        <v>78</v>
      </c>
      <c r="D49" s="98"/>
      <c r="E49" s="91"/>
      <c r="F49" s="98"/>
      <c r="G49" s="91"/>
      <c r="H49" s="91"/>
      <c r="I49" s="91"/>
      <c r="J49" s="90">
        <f t="shared" si="3"/>
        <v>-100</v>
      </c>
      <c r="K49" s="98"/>
      <c r="L49" s="90">
        <f>K49/(F49+1E-106)*100-100</f>
        <v>-100</v>
      </c>
      <c r="M49" s="91">
        <f>K49-I49</f>
        <v>0</v>
      </c>
      <c r="N49" s="106"/>
      <c r="O49" s="160"/>
      <c r="Q49" s="7"/>
      <c r="R49" s="9"/>
    </row>
    <row r="50" spans="1:18" ht="37.5" customHeight="1" hidden="1">
      <c r="A50" s="1" t="s">
        <v>62</v>
      </c>
      <c r="B50" s="39" t="s">
        <v>83</v>
      </c>
      <c r="C50" s="31"/>
      <c r="D50" s="94"/>
      <c r="E50" s="93"/>
      <c r="F50" s="94"/>
      <c r="G50" s="93"/>
      <c r="H50" s="93"/>
      <c r="I50" s="106"/>
      <c r="J50" s="90"/>
      <c r="K50" s="94"/>
      <c r="L50" s="90"/>
      <c r="M50" s="91"/>
      <c r="N50" s="106"/>
      <c r="O50" s="160"/>
      <c r="Q50" s="7"/>
      <c r="R50" s="9"/>
    </row>
    <row r="51" spans="1:18" ht="37.5" customHeight="1" hidden="1">
      <c r="A51" s="1"/>
      <c r="B51" s="41" t="s">
        <v>49</v>
      </c>
      <c r="C51" s="31" t="s">
        <v>73</v>
      </c>
      <c r="D51" s="98"/>
      <c r="E51" s="92">
        <f>E53*1000*E52/(E14+1E-97)</f>
        <v>0</v>
      </c>
      <c r="F51" s="98"/>
      <c r="G51" s="92">
        <f>G53*1000*G52/(G14+1E-97)</f>
        <v>0</v>
      </c>
      <c r="H51" s="92">
        <f>H53*1000*H52/(H14+1E-97)</f>
        <v>0</v>
      </c>
      <c r="I51" s="99"/>
      <c r="J51" s="90">
        <f t="shared" si="3"/>
        <v>-100</v>
      </c>
      <c r="K51" s="98"/>
      <c r="L51" s="90">
        <f>K51/(F51+1E-106)*100-100</f>
        <v>-100</v>
      </c>
      <c r="M51" s="91">
        <f>K51-I51</f>
        <v>0</v>
      </c>
      <c r="N51" s="106"/>
      <c r="O51" s="160"/>
      <c r="Q51" s="7"/>
      <c r="R51" s="9"/>
    </row>
    <row r="52" spans="1:18" ht="37.5" customHeight="1" hidden="1">
      <c r="A52" s="1"/>
      <c r="B52" s="41" t="s">
        <v>93</v>
      </c>
      <c r="C52" s="31"/>
      <c r="D52" s="102"/>
      <c r="E52" s="101"/>
      <c r="F52" s="102"/>
      <c r="G52" s="103"/>
      <c r="H52" s="103"/>
      <c r="I52" s="103"/>
      <c r="J52" s="90"/>
      <c r="K52" s="102"/>
      <c r="L52" s="90"/>
      <c r="M52" s="91"/>
      <c r="N52" s="106"/>
      <c r="O52" s="160"/>
      <c r="Q52" s="7"/>
      <c r="R52" s="9"/>
    </row>
    <row r="53" spans="1:18" ht="37.5" customHeight="1" hidden="1">
      <c r="A53" s="1"/>
      <c r="B53" s="40" t="s">
        <v>50</v>
      </c>
      <c r="C53" s="31" t="s">
        <v>79</v>
      </c>
      <c r="D53" s="105">
        <f>D51/(D52+1E-101)*D14/1000</f>
        <v>0</v>
      </c>
      <c r="E53" s="91"/>
      <c r="F53" s="105">
        <f>F51/(F52+1E-101)*F14/1000</f>
        <v>0</v>
      </c>
      <c r="G53" s="91"/>
      <c r="H53" s="91"/>
      <c r="I53" s="92">
        <f>I51/(I52+1E-101)*I14/1000</f>
        <v>0</v>
      </c>
      <c r="J53" s="90">
        <f t="shared" si="3"/>
        <v>-100</v>
      </c>
      <c r="K53" s="105">
        <f>K51/(K52+1E-101)*K14/1000</f>
        <v>0</v>
      </c>
      <c r="L53" s="90">
        <f>K53/(F53+1E-106)*100-100</f>
        <v>-100</v>
      </c>
      <c r="M53" s="91">
        <f>K53-I53</f>
        <v>0</v>
      </c>
      <c r="N53" s="106"/>
      <c r="O53" s="160"/>
      <c r="Q53" s="7"/>
      <c r="R53" s="9"/>
    </row>
    <row r="54" spans="1:18" ht="37.5" customHeight="1" hidden="1">
      <c r="A54" s="1"/>
      <c r="B54" s="40" t="s">
        <v>30</v>
      </c>
      <c r="C54" s="31" t="s">
        <v>78</v>
      </c>
      <c r="D54" s="98"/>
      <c r="E54" s="92">
        <f>E137/(E53+1E-102)*1000</f>
        <v>0</v>
      </c>
      <c r="F54" s="98"/>
      <c r="G54" s="92">
        <f>G137/(G53+1E-102)*1000</f>
        <v>0</v>
      </c>
      <c r="H54" s="92">
        <f>H137/(H53+1E-102)*1000</f>
        <v>0</v>
      </c>
      <c r="I54" s="91"/>
      <c r="J54" s="90">
        <f t="shared" si="3"/>
        <v>-100</v>
      </c>
      <c r="K54" s="98"/>
      <c r="L54" s="90">
        <f>K54/(F54+1E-106)*100-100</f>
        <v>-100</v>
      </c>
      <c r="M54" s="91">
        <f>K54-I54</f>
        <v>0</v>
      </c>
      <c r="N54" s="106"/>
      <c r="O54" s="160"/>
      <c r="Q54" s="7"/>
      <c r="R54" s="9"/>
    </row>
    <row r="55" spans="1:18" ht="37.5" customHeight="1" hidden="1">
      <c r="A55" s="1"/>
      <c r="B55" s="43" t="s">
        <v>77</v>
      </c>
      <c r="C55" s="31" t="s">
        <v>78</v>
      </c>
      <c r="D55" s="98"/>
      <c r="E55" s="91"/>
      <c r="F55" s="98"/>
      <c r="G55" s="91"/>
      <c r="H55" s="91"/>
      <c r="I55" s="91"/>
      <c r="J55" s="90">
        <f t="shared" si="3"/>
        <v>-100</v>
      </c>
      <c r="K55" s="98"/>
      <c r="L55" s="90">
        <f>K55/(F55+1E-106)*100-100</f>
        <v>-100</v>
      </c>
      <c r="M55" s="91">
        <f>K55-I55</f>
        <v>0</v>
      </c>
      <c r="N55" s="106"/>
      <c r="O55" s="160"/>
      <c r="Q55" s="7"/>
      <c r="R55" s="9"/>
    </row>
    <row r="56" spans="1:18" ht="37.5" customHeight="1" hidden="1">
      <c r="A56" s="1" t="s">
        <v>62</v>
      </c>
      <c r="B56" s="39" t="s">
        <v>85</v>
      </c>
      <c r="C56" s="31"/>
      <c r="D56" s="94"/>
      <c r="E56" s="93"/>
      <c r="F56" s="94"/>
      <c r="G56" s="93"/>
      <c r="H56" s="93"/>
      <c r="I56" s="106"/>
      <c r="J56" s="90"/>
      <c r="K56" s="94"/>
      <c r="L56" s="90"/>
      <c r="M56" s="91"/>
      <c r="N56" s="106"/>
      <c r="O56" s="160"/>
      <c r="Q56" s="7"/>
      <c r="R56" s="9"/>
    </row>
    <row r="57" spans="1:18" ht="37.5" customHeight="1" hidden="1">
      <c r="A57" s="1"/>
      <c r="B57" s="41" t="s">
        <v>49</v>
      </c>
      <c r="C57" s="31" t="s">
        <v>73</v>
      </c>
      <c r="D57" s="98"/>
      <c r="E57" s="92">
        <f>E59*1000*E58/(E15+1E-96)</f>
        <v>0</v>
      </c>
      <c r="F57" s="98"/>
      <c r="G57" s="92">
        <f>G59*1000*G58/(G15+1E-96)</f>
        <v>0</v>
      </c>
      <c r="H57" s="92">
        <f>H59*1000*H58/(H15+1E-96)</f>
        <v>0</v>
      </c>
      <c r="I57" s="99"/>
      <c r="J57" s="90">
        <f t="shared" si="3"/>
        <v>-100</v>
      </c>
      <c r="K57" s="98"/>
      <c r="L57" s="90">
        <f>K57/(F57+1E-106)*100-100</f>
        <v>-100</v>
      </c>
      <c r="M57" s="91">
        <f>K57-I57</f>
        <v>0</v>
      </c>
      <c r="N57" s="106"/>
      <c r="O57" s="160"/>
      <c r="Q57" s="7"/>
      <c r="R57" s="9"/>
    </row>
    <row r="58" spans="1:18" ht="37.5" customHeight="1" hidden="1">
      <c r="A58" s="1"/>
      <c r="B58" s="41" t="s">
        <v>93</v>
      </c>
      <c r="C58" s="31"/>
      <c r="D58" s="102"/>
      <c r="E58" s="101"/>
      <c r="F58" s="102"/>
      <c r="G58" s="103"/>
      <c r="H58" s="103"/>
      <c r="I58" s="103"/>
      <c r="J58" s="90"/>
      <c r="K58" s="102"/>
      <c r="L58" s="90"/>
      <c r="M58" s="91"/>
      <c r="N58" s="106"/>
      <c r="O58" s="160"/>
      <c r="Q58" s="7"/>
      <c r="R58" s="9"/>
    </row>
    <row r="59" spans="1:18" ht="37.5" customHeight="1" hidden="1">
      <c r="A59" s="1"/>
      <c r="B59" s="40" t="s">
        <v>50</v>
      </c>
      <c r="C59" s="31" t="s">
        <v>79</v>
      </c>
      <c r="D59" s="105">
        <f>D57/(D58+1E-101)*D15/1000</f>
        <v>0</v>
      </c>
      <c r="E59" s="91"/>
      <c r="F59" s="105">
        <f>F57/(F58+1E-101)*F15/1000</f>
        <v>0</v>
      </c>
      <c r="G59" s="91"/>
      <c r="H59" s="91"/>
      <c r="I59" s="92">
        <f>I57/(I58+1E-101)*I15/1000</f>
        <v>0</v>
      </c>
      <c r="J59" s="90">
        <f t="shared" si="3"/>
        <v>-100</v>
      </c>
      <c r="K59" s="105">
        <f>K57/(K58+1E-101)*K15/1000</f>
        <v>0</v>
      </c>
      <c r="L59" s="90">
        <f>K59/(F59+1E-106)*100-100</f>
        <v>-100</v>
      </c>
      <c r="M59" s="91">
        <f>K59-I59</f>
        <v>0</v>
      </c>
      <c r="N59" s="106"/>
      <c r="O59" s="160"/>
      <c r="Q59" s="7"/>
      <c r="R59" s="9"/>
    </row>
    <row r="60" spans="1:18" ht="37.5" customHeight="1" hidden="1">
      <c r="A60" s="1"/>
      <c r="B60" s="40" t="s">
        <v>30</v>
      </c>
      <c r="C60" s="31" t="s">
        <v>78</v>
      </c>
      <c r="D60" s="98"/>
      <c r="E60" s="92">
        <f>E138/(E59+1E-102)*1000</f>
        <v>0</v>
      </c>
      <c r="F60" s="98"/>
      <c r="G60" s="92">
        <f>G138/(G59+1E-102)*1000</f>
        <v>0</v>
      </c>
      <c r="H60" s="92">
        <f>H138/(H59+1E-102)*1000</f>
        <v>0</v>
      </c>
      <c r="I60" s="91"/>
      <c r="J60" s="90">
        <f t="shared" si="3"/>
        <v>-100</v>
      </c>
      <c r="K60" s="98"/>
      <c r="L60" s="90">
        <f>K60/(F60+1E-106)*100-100</f>
        <v>-100</v>
      </c>
      <c r="M60" s="91">
        <f>K60-I60</f>
        <v>0</v>
      </c>
      <c r="N60" s="106"/>
      <c r="O60" s="160"/>
      <c r="Q60" s="7"/>
      <c r="R60" s="9"/>
    </row>
    <row r="61" spans="1:18" ht="37.5" customHeight="1" hidden="1">
      <c r="A61" s="1"/>
      <c r="B61" s="43" t="s">
        <v>77</v>
      </c>
      <c r="C61" s="31" t="s">
        <v>78</v>
      </c>
      <c r="D61" s="98"/>
      <c r="E61" s="91"/>
      <c r="F61" s="98"/>
      <c r="G61" s="91"/>
      <c r="H61" s="91"/>
      <c r="I61" s="91"/>
      <c r="J61" s="90">
        <f t="shared" si="3"/>
        <v>-100</v>
      </c>
      <c r="K61" s="98"/>
      <c r="L61" s="90">
        <f>K61/(F61+1E-106)*100-100</f>
        <v>-100</v>
      </c>
      <c r="M61" s="91">
        <f>K61-I61</f>
        <v>0</v>
      </c>
      <c r="N61" s="106"/>
      <c r="O61" s="160"/>
      <c r="Q61" s="7"/>
      <c r="R61" s="9"/>
    </row>
    <row r="62" spans="1:18" ht="37.5" customHeight="1" hidden="1">
      <c r="A62" s="1" t="s">
        <v>62</v>
      </c>
      <c r="B62" s="39" t="s">
        <v>86</v>
      </c>
      <c r="C62" s="31"/>
      <c r="D62" s="94"/>
      <c r="E62" s="93"/>
      <c r="F62" s="94"/>
      <c r="G62" s="93"/>
      <c r="H62" s="93"/>
      <c r="I62" s="106"/>
      <c r="J62" s="90"/>
      <c r="K62" s="94"/>
      <c r="L62" s="90"/>
      <c r="M62" s="91"/>
      <c r="N62" s="106"/>
      <c r="O62" s="160"/>
      <c r="Q62" s="7"/>
      <c r="R62" s="9"/>
    </row>
    <row r="63" spans="1:18" ht="37.5" customHeight="1" hidden="1">
      <c r="A63" s="1"/>
      <c r="B63" s="41" t="s">
        <v>49</v>
      </c>
      <c r="C63" s="31" t="s">
        <v>73</v>
      </c>
      <c r="D63" s="98"/>
      <c r="E63" s="92">
        <f>E65*1000*E64/(E16+1E-98)</f>
        <v>0</v>
      </c>
      <c r="F63" s="98"/>
      <c r="G63" s="92">
        <f>G65*1000*G64/(G16+1E-98)</f>
        <v>0</v>
      </c>
      <c r="H63" s="92">
        <f>H65*1000*H64/(H16+1E-98)</f>
        <v>0</v>
      </c>
      <c r="I63" s="99"/>
      <c r="J63" s="90">
        <f t="shared" si="3"/>
        <v>-100</v>
      </c>
      <c r="K63" s="98"/>
      <c r="L63" s="90">
        <f>K63/(F63+1E-106)*100-100</f>
        <v>-100</v>
      </c>
      <c r="M63" s="91">
        <f>K63-I63</f>
        <v>0</v>
      </c>
      <c r="N63" s="106"/>
      <c r="O63" s="160"/>
      <c r="Q63" s="7"/>
      <c r="R63" s="9"/>
    </row>
    <row r="64" spans="1:18" ht="37.5" customHeight="1" hidden="1">
      <c r="A64" s="1"/>
      <c r="B64" s="41" t="s">
        <v>93</v>
      </c>
      <c r="C64" s="31"/>
      <c r="D64" s="102"/>
      <c r="E64" s="101"/>
      <c r="F64" s="102"/>
      <c r="G64" s="103"/>
      <c r="H64" s="103"/>
      <c r="I64" s="103"/>
      <c r="J64" s="90"/>
      <c r="K64" s="102"/>
      <c r="L64" s="90"/>
      <c r="M64" s="91"/>
      <c r="N64" s="106"/>
      <c r="O64" s="160"/>
      <c r="Q64" s="7"/>
      <c r="R64" s="9"/>
    </row>
    <row r="65" spans="1:18" ht="37.5" customHeight="1" hidden="1">
      <c r="A65" s="1"/>
      <c r="B65" s="40" t="s">
        <v>50</v>
      </c>
      <c r="C65" s="31" t="s">
        <v>79</v>
      </c>
      <c r="D65" s="105">
        <f>D63/(D64+1E-97)*D16/1000</f>
        <v>0</v>
      </c>
      <c r="E65" s="91"/>
      <c r="F65" s="105">
        <f>F63/(F64+1E-97)*F16/1000</f>
        <v>0</v>
      </c>
      <c r="G65" s="91"/>
      <c r="H65" s="91"/>
      <c r="I65" s="92">
        <f>I63/(I64+1E-97)*I16/1000</f>
        <v>0</v>
      </c>
      <c r="J65" s="90">
        <f t="shared" si="3"/>
        <v>-100</v>
      </c>
      <c r="K65" s="105">
        <f>K63/(K64+1E-97)*K16/1000</f>
        <v>0</v>
      </c>
      <c r="L65" s="90">
        <f>K65/(F65+1E-106)*100-100</f>
        <v>-100</v>
      </c>
      <c r="M65" s="91">
        <f>K65-I65</f>
        <v>0</v>
      </c>
      <c r="N65" s="106"/>
      <c r="O65" s="160"/>
      <c r="Q65" s="7"/>
      <c r="R65" s="9"/>
    </row>
    <row r="66" spans="1:18" ht="37.5" customHeight="1" hidden="1">
      <c r="A66" s="1"/>
      <c r="B66" s="40" t="s">
        <v>30</v>
      </c>
      <c r="C66" s="31" t="s">
        <v>78</v>
      </c>
      <c r="D66" s="98"/>
      <c r="E66" s="92">
        <f>E139/(E65+1E-102)*1000</f>
        <v>0</v>
      </c>
      <c r="F66" s="98"/>
      <c r="G66" s="92">
        <f>G139/(G65+1E-102)*1000</f>
        <v>0</v>
      </c>
      <c r="H66" s="92">
        <f>H139/(H65+1E-102)*1000</f>
        <v>0</v>
      </c>
      <c r="I66" s="91"/>
      <c r="J66" s="90">
        <f t="shared" si="3"/>
        <v>-100</v>
      </c>
      <c r="K66" s="98"/>
      <c r="L66" s="90">
        <f>K66/(F66+1E-106)*100-100</f>
        <v>-100</v>
      </c>
      <c r="M66" s="91">
        <f>K66-I66</f>
        <v>0</v>
      </c>
      <c r="N66" s="106"/>
      <c r="O66" s="160"/>
      <c r="Q66" s="7"/>
      <c r="R66" s="9"/>
    </row>
    <row r="67" spans="1:18" ht="37.5" customHeight="1" hidden="1">
      <c r="A67" s="1"/>
      <c r="B67" s="43" t="s">
        <v>77</v>
      </c>
      <c r="C67" s="31" t="s">
        <v>78</v>
      </c>
      <c r="D67" s="98"/>
      <c r="E67" s="91"/>
      <c r="F67" s="98"/>
      <c r="G67" s="91"/>
      <c r="H67" s="91"/>
      <c r="I67" s="91"/>
      <c r="J67" s="90">
        <f t="shared" si="3"/>
        <v>-100</v>
      </c>
      <c r="K67" s="98"/>
      <c r="L67" s="90">
        <f>K67/(F67+1E-106)*100-100</f>
        <v>-100</v>
      </c>
      <c r="M67" s="91">
        <f>K67-I67</f>
        <v>0</v>
      </c>
      <c r="N67" s="106"/>
      <c r="O67" s="160"/>
      <c r="Q67" s="7"/>
      <c r="R67" s="9"/>
    </row>
    <row r="68" spans="1:18" ht="17.25" customHeight="1">
      <c r="A68" s="51">
        <v>8</v>
      </c>
      <c r="B68" s="39" t="s">
        <v>9</v>
      </c>
      <c r="C68" s="31"/>
      <c r="D68" s="105"/>
      <c r="E68" s="92"/>
      <c r="F68" s="105"/>
      <c r="G68" s="92"/>
      <c r="H68" s="92"/>
      <c r="I68" s="92"/>
      <c r="J68" s="106"/>
      <c r="K68" s="105"/>
      <c r="L68" s="90"/>
      <c r="M68" s="91"/>
      <c r="N68" s="106"/>
      <c r="O68" s="160"/>
      <c r="Q68" s="7"/>
      <c r="R68" s="9"/>
    </row>
    <row r="69" spans="1:18" ht="24.75" customHeight="1">
      <c r="A69" s="51" t="s">
        <v>62</v>
      </c>
      <c r="B69" s="40" t="s">
        <v>27</v>
      </c>
      <c r="C69" s="31"/>
      <c r="D69" s="105">
        <f aca="true" t="shared" si="7" ref="D69:I69">D70*1000/(D9+1E-113)</f>
        <v>33</v>
      </c>
      <c r="E69" s="107">
        <f t="shared" si="7"/>
        <v>13.83</v>
      </c>
      <c r="F69" s="105">
        <f>F70*1000/(F9+1E-113)</f>
        <v>33</v>
      </c>
      <c r="G69" s="107">
        <f t="shared" si="7"/>
        <v>23.97</v>
      </c>
      <c r="H69" s="107">
        <f t="shared" si="7"/>
        <v>17.25</v>
      </c>
      <c r="I69" s="107">
        <f t="shared" si="7"/>
        <v>33</v>
      </c>
      <c r="J69" s="90">
        <f t="shared" si="3"/>
        <v>0</v>
      </c>
      <c r="K69" s="105">
        <f>K70*1000/(K9+1E-113)</f>
        <v>33</v>
      </c>
      <c r="L69" s="90">
        <f>K69/(F69+1E-106)*100-100</f>
        <v>0</v>
      </c>
      <c r="M69" s="91">
        <f aca="true" t="shared" si="8" ref="M69:M74">K69-I69</f>
        <v>0</v>
      </c>
      <c r="N69" s="106"/>
      <c r="O69" s="160"/>
      <c r="Q69" s="7"/>
      <c r="R69" s="9"/>
    </row>
    <row r="70" spans="1:18" ht="48.75" customHeight="1">
      <c r="A70" s="51" t="s">
        <v>62</v>
      </c>
      <c r="B70" s="39" t="s">
        <v>158</v>
      </c>
      <c r="C70" s="52" t="s">
        <v>44</v>
      </c>
      <c r="D70" s="113">
        <f>D79+D85+D91+D97+D104+D110+D116+D122</f>
        <v>383.3</v>
      </c>
      <c r="E70" s="112">
        <f>E79+E85+E91+E97+E104+E110+E116+E122</f>
        <v>219.7</v>
      </c>
      <c r="F70" s="113">
        <f>F71+F72+F73+F74</f>
        <v>420.5</v>
      </c>
      <c r="G70" s="112">
        <f>G71+G72+G73+G74</f>
        <v>177.6</v>
      </c>
      <c r="H70" s="112">
        <f>H71+H72+H73+H74</f>
        <v>219.7</v>
      </c>
      <c r="I70" s="112">
        <f>I71+I72+I73+I74</f>
        <v>440.5</v>
      </c>
      <c r="J70" s="90">
        <f t="shared" si="3"/>
        <v>4.8</v>
      </c>
      <c r="K70" s="113">
        <f>K71+K72+K73+K74</f>
        <v>440.5</v>
      </c>
      <c r="L70" s="90">
        <f>K70/(F70+1E-106)*100-100</f>
        <v>4.8</v>
      </c>
      <c r="M70" s="91">
        <f t="shared" si="8"/>
        <v>0</v>
      </c>
      <c r="N70" s="106"/>
      <c r="O70" s="160"/>
      <c r="Q70" s="7"/>
      <c r="R70" s="9"/>
    </row>
    <row r="71" spans="1:18" ht="20.25" customHeight="1">
      <c r="A71" s="51"/>
      <c r="B71" s="40" t="s">
        <v>120</v>
      </c>
      <c r="C71" s="31" t="s">
        <v>44</v>
      </c>
      <c r="D71" s="105" t="s">
        <v>143</v>
      </c>
      <c r="E71" s="107" t="s">
        <v>160</v>
      </c>
      <c r="F71" s="98">
        <v>420.5</v>
      </c>
      <c r="G71" s="92">
        <f>G79+G104</f>
        <v>177.6</v>
      </c>
      <c r="H71" s="92">
        <f>H79+H104</f>
        <v>219.7</v>
      </c>
      <c r="I71" s="91">
        <v>440.5</v>
      </c>
      <c r="J71" s="90"/>
      <c r="K71" s="98">
        <v>440.5</v>
      </c>
      <c r="L71" s="90"/>
      <c r="M71" s="91">
        <f t="shared" si="8"/>
        <v>0</v>
      </c>
      <c r="N71" s="106"/>
      <c r="O71" s="160"/>
      <c r="Q71" s="7"/>
      <c r="R71" s="9"/>
    </row>
    <row r="72" spans="1:18" ht="20.25" customHeight="1">
      <c r="A72" s="51"/>
      <c r="B72" s="40" t="s">
        <v>121</v>
      </c>
      <c r="C72" s="31" t="s">
        <v>44</v>
      </c>
      <c r="D72" s="105" t="s">
        <v>143</v>
      </c>
      <c r="E72" s="92" t="s">
        <v>160</v>
      </c>
      <c r="F72" s="98"/>
      <c r="G72" s="92">
        <f>G85+G110</f>
        <v>0</v>
      </c>
      <c r="H72" s="92">
        <f>H85+H110</f>
        <v>0</v>
      </c>
      <c r="I72" s="91"/>
      <c r="J72" s="90"/>
      <c r="K72" s="98"/>
      <c r="L72" s="90"/>
      <c r="M72" s="91">
        <f t="shared" si="8"/>
        <v>0</v>
      </c>
      <c r="N72" s="106"/>
      <c r="O72" s="160"/>
      <c r="Q72" s="7"/>
      <c r="R72" s="9"/>
    </row>
    <row r="73" spans="1:18" ht="18.75" customHeight="1">
      <c r="A73" s="51"/>
      <c r="B73" s="40" t="s">
        <v>122</v>
      </c>
      <c r="C73" s="31" t="s">
        <v>44</v>
      </c>
      <c r="D73" s="105" t="s">
        <v>143</v>
      </c>
      <c r="E73" s="92" t="s">
        <v>160</v>
      </c>
      <c r="F73" s="98"/>
      <c r="G73" s="92">
        <f>G91+G116</f>
        <v>0</v>
      </c>
      <c r="H73" s="92">
        <f>H91+H116</f>
        <v>0</v>
      </c>
      <c r="I73" s="91"/>
      <c r="J73" s="90"/>
      <c r="K73" s="98"/>
      <c r="L73" s="90"/>
      <c r="M73" s="91">
        <f t="shared" si="8"/>
        <v>0</v>
      </c>
      <c r="N73" s="106"/>
      <c r="O73" s="160"/>
      <c r="Q73" s="7"/>
      <c r="R73" s="9"/>
    </row>
    <row r="74" spans="1:18" ht="18.75" customHeight="1">
      <c r="A74" s="51"/>
      <c r="B74" s="40" t="s">
        <v>123</v>
      </c>
      <c r="C74" s="31" t="s">
        <v>44</v>
      </c>
      <c r="D74" s="105" t="s">
        <v>143</v>
      </c>
      <c r="E74" s="92" t="s">
        <v>160</v>
      </c>
      <c r="F74" s="98"/>
      <c r="G74" s="92">
        <f>G97+G122</f>
        <v>0</v>
      </c>
      <c r="H74" s="92">
        <f>H97+H122</f>
        <v>0</v>
      </c>
      <c r="I74" s="91"/>
      <c r="J74" s="90"/>
      <c r="K74" s="98"/>
      <c r="L74" s="90"/>
      <c r="M74" s="91">
        <f t="shared" si="8"/>
        <v>0</v>
      </c>
      <c r="N74" s="106"/>
      <c r="O74" s="160"/>
      <c r="Q74" s="7"/>
      <c r="R74" s="9"/>
    </row>
    <row r="75" spans="1:18" ht="19.5" customHeight="1">
      <c r="A75" s="51"/>
      <c r="B75" s="39" t="s">
        <v>156</v>
      </c>
      <c r="C75" s="31"/>
      <c r="D75" s="98"/>
      <c r="E75" s="91"/>
      <c r="F75" s="98"/>
      <c r="G75" s="91"/>
      <c r="H75" s="91"/>
      <c r="I75" s="91"/>
      <c r="J75" s="90"/>
      <c r="K75" s="98"/>
      <c r="L75" s="90"/>
      <c r="M75" s="91"/>
      <c r="N75" s="106"/>
      <c r="O75" s="160"/>
      <c r="Q75" s="7"/>
      <c r="R75" s="9"/>
    </row>
    <row r="76" spans="1:18" ht="39">
      <c r="A76" s="51" t="s">
        <v>62</v>
      </c>
      <c r="B76" s="182" t="s">
        <v>157</v>
      </c>
      <c r="C76" s="31" t="s">
        <v>44</v>
      </c>
      <c r="D76" s="157">
        <f aca="true" t="shared" si="9" ref="D76:I76">D79+D85+D91+D97</f>
        <v>383.3</v>
      </c>
      <c r="E76" s="156">
        <f t="shared" si="9"/>
        <v>133.6</v>
      </c>
      <c r="F76" s="157">
        <f t="shared" si="9"/>
        <v>420.5</v>
      </c>
      <c r="G76" s="156">
        <f t="shared" si="9"/>
        <v>44</v>
      </c>
      <c r="H76" s="156">
        <f t="shared" si="9"/>
        <v>86.1</v>
      </c>
      <c r="I76" s="156">
        <f t="shared" si="9"/>
        <v>440.5</v>
      </c>
      <c r="J76" s="90">
        <f t="shared" si="3"/>
        <v>4.8</v>
      </c>
      <c r="K76" s="157">
        <f>K79+K85+K91+K97</f>
        <v>440.5</v>
      </c>
      <c r="L76" s="90">
        <f>K76/(F76+1E-106)*100-100</f>
        <v>4.8</v>
      </c>
      <c r="M76" s="91">
        <f>K76-I76</f>
        <v>0</v>
      </c>
      <c r="N76" s="106"/>
      <c r="O76" s="160"/>
      <c r="Q76" s="7"/>
      <c r="R76" s="9"/>
    </row>
    <row r="77" spans="1:18" ht="39">
      <c r="A77" s="51"/>
      <c r="B77" s="40" t="s">
        <v>159</v>
      </c>
      <c r="C77" s="147"/>
      <c r="D77" s="98">
        <v>100</v>
      </c>
      <c r="E77" s="92">
        <f>(E79+E85+E91+E97)/(E70+1E-122)*100</f>
        <v>60.81</v>
      </c>
      <c r="F77" s="105">
        <v>100</v>
      </c>
      <c r="G77" s="92">
        <f>(G79+G85+G91+G97)/(G70+1E-122)*100</f>
        <v>24.77</v>
      </c>
      <c r="H77" s="92">
        <f>(H79+H85+H91+H97)/(H70+1E-119)*100</f>
        <v>39.19</v>
      </c>
      <c r="I77" s="91">
        <v>100</v>
      </c>
      <c r="J77" s="90"/>
      <c r="K77" s="98">
        <v>100</v>
      </c>
      <c r="L77" s="90"/>
      <c r="M77" s="91"/>
      <c r="N77" s="106"/>
      <c r="O77" s="160"/>
      <c r="Q77" s="7"/>
      <c r="R77" s="9"/>
    </row>
    <row r="78" spans="1:18" ht="12.75">
      <c r="A78" s="1" t="s">
        <v>62</v>
      </c>
      <c r="B78" s="39" t="s">
        <v>120</v>
      </c>
      <c r="C78" s="31"/>
      <c r="D78" s="105"/>
      <c r="E78" s="92"/>
      <c r="F78" s="105"/>
      <c r="G78" s="92"/>
      <c r="H78" s="92"/>
      <c r="I78" s="92"/>
      <c r="J78" s="106"/>
      <c r="K78" s="105"/>
      <c r="L78" s="90"/>
      <c r="M78" s="91"/>
      <c r="N78" s="106"/>
      <c r="O78" s="160"/>
      <c r="Q78" s="7"/>
      <c r="R78" s="9"/>
    </row>
    <row r="79" spans="1:18" ht="12.75" customHeight="1">
      <c r="A79" s="1"/>
      <c r="B79" s="40" t="s">
        <v>28</v>
      </c>
      <c r="C79" s="31" t="s">
        <v>44</v>
      </c>
      <c r="D79" s="178">
        <v>383.3</v>
      </c>
      <c r="E79" s="178">
        <v>133.6</v>
      </c>
      <c r="F79" s="179">
        <f>F71*F77/100</f>
        <v>420.5</v>
      </c>
      <c r="G79" s="178">
        <v>44</v>
      </c>
      <c r="H79" s="178">
        <v>86.1</v>
      </c>
      <c r="I79" s="179">
        <f>I71*I77/100</f>
        <v>440.5</v>
      </c>
      <c r="J79" s="180">
        <f t="shared" si="3"/>
        <v>4.8</v>
      </c>
      <c r="K79" s="179">
        <f>K71*K77/100</f>
        <v>440.5</v>
      </c>
      <c r="L79" s="180">
        <f>K79/(F79+1E-106)*100-100</f>
        <v>4.8</v>
      </c>
      <c r="M79" s="178">
        <f>K79-I79</f>
        <v>0</v>
      </c>
      <c r="N79" s="181"/>
      <c r="O79" s="161"/>
      <c r="Q79" s="7"/>
      <c r="R79" s="9"/>
    </row>
    <row r="80" spans="1:18" ht="12.75" customHeight="1">
      <c r="A80" s="1"/>
      <c r="B80" s="40" t="s">
        <v>33</v>
      </c>
      <c r="C80" s="31" t="s">
        <v>45</v>
      </c>
      <c r="D80" s="98">
        <v>2.45</v>
      </c>
      <c r="E80" s="108">
        <f>E142/(E79+1E-107)</f>
        <v>2.4499</v>
      </c>
      <c r="F80" s="109">
        <v>3.52</v>
      </c>
      <c r="G80" s="108">
        <f>(G142-G82*12*G83)/(G79+1E-107)</f>
        <v>3.5205</v>
      </c>
      <c r="H80" s="108">
        <f>(H142-H82*12*H83)/(H79+1E-107)</f>
        <v>3.5203</v>
      </c>
      <c r="I80" s="110">
        <v>4.05</v>
      </c>
      <c r="J80" s="90">
        <f t="shared" si="3"/>
        <v>15.1</v>
      </c>
      <c r="K80" s="110">
        <v>4.05</v>
      </c>
      <c r="L80" s="90">
        <f>K80/(F80+1E-106)*100-100</f>
        <v>15.1</v>
      </c>
      <c r="M80" s="91">
        <f>K80-I80</f>
        <v>0</v>
      </c>
      <c r="N80" s="106"/>
      <c r="O80" s="161"/>
      <c r="Q80" s="7"/>
      <c r="R80" s="9"/>
    </row>
    <row r="81" spans="1:18" ht="26.25" customHeight="1">
      <c r="A81" s="1"/>
      <c r="B81" s="40" t="s">
        <v>147</v>
      </c>
      <c r="C81" s="31" t="s">
        <v>132</v>
      </c>
      <c r="D81" s="99">
        <v>8040</v>
      </c>
      <c r="E81" s="183">
        <v>8040</v>
      </c>
      <c r="F81" s="183">
        <v>8040</v>
      </c>
      <c r="G81" s="183">
        <v>2136</v>
      </c>
      <c r="H81" s="183">
        <v>8040</v>
      </c>
      <c r="I81" s="177">
        <v>8040</v>
      </c>
      <c r="J81" s="183"/>
      <c r="K81" s="110">
        <v>8040</v>
      </c>
      <c r="L81" s="183"/>
      <c r="M81" s="99"/>
      <c r="N81" s="93"/>
      <c r="O81" s="184"/>
      <c r="Q81" s="7"/>
      <c r="R81" s="9"/>
    </row>
    <row r="82" spans="1:18" ht="0.75" customHeight="1">
      <c r="A82" s="1"/>
      <c r="B82" s="40" t="s">
        <v>188</v>
      </c>
      <c r="C82" s="150" t="s">
        <v>161</v>
      </c>
      <c r="D82" s="107" t="s">
        <v>160</v>
      </c>
      <c r="E82" s="149" t="s">
        <v>160</v>
      </c>
      <c r="F82" s="110"/>
      <c r="G82" s="110"/>
      <c r="H82" s="110"/>
      <c r="I82" s="110"/>
      <c r="J82" s="183">
        <f t="shared" si="3"/>
        <v>-100</v>
      </c>
      <c r="K82" s="110"/>
      <c r="L82" s="183">
        <f>K82/(F82+1E-106)*100-100</f>
        <v>-100</v>
      </c>
      <c r="M82" s="99">
        <f>K82-I82</f>
        <v>0</v>
      </c>
      <c r="N82" s="93"/>
      <c r="O82" s="184"/>
      <c r="Q82" s="7"/>
      <c r="R82" s="9"/>
    </row>
    <row r="83" spans="1:18" ht="26.25" customHeight="1" hidden="1">
      <c r="A83" s="1"/>
      <c r="B83" s="40" t="s">
        <v>182</v>
      </c>
      <c r="C83" s="31" t="s">
        <v>162</v>
      </c>
      <c r="D83" s="107" t="s">
        <v>160</v>
      </c>
      <c r="E83" s="149" t="s">
        <v>160</v>
      </c>
      <c r="F83" s="110"/>
      <c r="G83" s="110"/>
      <c r="H83" s="110"/>
      <c r="I83" s="110"/>
      <c r="J83" s="183">
        <f t="shared" si="3"/>
        <v>-100</v>
      </c>
      <c r="K83" s="110"/>
      <c r="L83" s="183">
        <f>K83/(F83+1E-106)*100-100</f>
        <v>-100</v>
      </c>
      <c r="M83" s="99">
        <f>K83-I83</f>
        <v>0</v>
      </c>
      <c r="N83" s="93"/>
      <c r="O83" s="184"/>
      <c r="Q83" s="7"/>
      <c r="R83" s="9"/>
    </row>
    <row r="84" spans="1:18" ht="26.25" customHeight="1" hidden="1">
      <c r="A84" s="1" t="s">
        <v>62</v>
      </c>
      <c r="B84" s="39" t="s">
        <v>121</v>
      </c>
      <c r="C84" s="31"/>
      <c r="D84" s="107"/>
      <c r="E84" s="149"/>
      <c r="F84" s="149"/>
      <c r="G84" s="149"/>
      <c r="H84" s="149"/>
      <c r="I84" s="149"/>
      <c r="J84" s="93"/>
      <c r="K84" s="149"/>
      <c r="L84" s="183"/>
      <c r="M84" s="99"/>
      <c r="N84" s="93"/>
      <c r="O84" s="184"/>
      <c r="Q84" s="7"/>
      <c r="R84" s="9"/>
    </row>
    <row r="85" spans="1:18" ht="27" customHeight="1" hidden="1">
      <c r="A85" s="1"/>
      <c r="B85" s="40" t="s">
        <v>28</v>
      </c>
      <c r="C85" s="31" t="s">
        <v>44</v>
      </c>
      <c r="D85" s="99"/>
      <c r="E85" s="99"/>
      <c r="F85" s="107">
        <f>F72*F77/100</f>
        <v>0</v>
      </c>
      <c r="G85" s="99"/>
      <c r="H85" s="99"/>
      <c r="I85" s="107">
        <f>I72*I77/100</f>
        <v>0</v>
      </c>
      <c r="J85" s="183">
        <f t="shared" si="3"/>
        <v>-100</v>
      </c>
      <c r="K85" s="107">
        <f>K72*K77/100</f>
        <v>0</v>
      </c>
      <c r="L85" s="183">
        <f>K85/(F85+1E-106)*100-100</f>
        <v>-100</v>
      </c>
      <c r="M85" s="99">
        <f>K85-I85</f>
        <v>0</v>
      </c>
      <c r="N85" s="93"/>
      <c r="O85" s="184"/>
      <c r="Q85" s="7"/>
      <c r="R85" s="9"/>
    </row>
    <row r="86" spans="1:18" ht="27" customHeight="1" hidden="1">
      <c r="A86" s="1"/>
      <c r="B86" s="40" t="s">
        <v>33</v>
      </c>
      <c r="C86" s="31" t="s">
        <v>45</v>
      </c>
      <c r="D86" s="98"/>
      <c r="E86" s="108">
        <f>E143/(E85+1E-107)</f>
        <v>0</v>
      </c>
      <c r="F86" s="109"/>
      <c r="G86" s="108">
        <f>(G143-G88*12*G89)/(G85+1E-107)</f>
        <v>0</v>
      </c>
      <c r="H86" s="108">
        <f>(H143-H88*12*H89)/(H85+1E-107)</f>
        <v>0</v>
      </c>
      <c r="I86" s="110"/>
      <c r="J86" s="90">
        <f t="shared" si="3"/>
        <v>-100</v>
      </c>
      <c r="K86" s="109"/>
      <c r="L86" s="90">
        <f>K86/(F86+1E-106)*100-100</f>
        <v>-100</v>
      </c>
      <c r="M86" s="91">
        <f>K86-I86</f>
        <v>0</v>
      </c>
      <c r="N86" s="106"/>
      <c r="O86" s="161"/>
      <c r="Q86" s="7"/>
      <c r="R86" s="9"/>
    </row>
    <row r="87" spans="1:18" ht="27" customHeight="1" hidden="1">
      <c r="A87" s="1"/>
      <c r="B87" s="40" t="s">
        <v>147</v>
      </c>
      <c r="C87" s="31" t="s">
        <v>132</v>
      </c>
      <c r="D87" s="98"/>
      <c r="E87" s="111"/>
      <c r="F87" s="109"/>
      <c r="G87" s="111"/>
      <c r="H87" s="111"/>
      <c r="I87" s="110"/>
      <c r="J87" s="90"/>
      <c r="K87" s="109"/>
      <c r="L87" s="90"/>
      <c r="M87" s="91"/>
      <c r="N87" s="106"/>
      <c r="O87" s="161"/>
      <c r="Q87" s="7"/>
      <c r="R87" s="9"/>
    </row>
    <row r="88" spans="1:18" ht="27" customHeight="1" hidden="1">
      <c r="A88" s="1"/>
      <c r="B88" s="40" t="s">
        <v>188</v>
      </c>
      <c r="C88" s="150" t="s">
        <v>161</v>
      </c>
      <c r="D88" s="105" t="s">
        <v>160</v>
      </c>
      <c r="E88" s="108" t="s">
        <v>160</v>
      </c>
      <c r="F88" s="109"/>
      <c r="G88" s="111"/>
      <c r="H88" s="111"/>
      <c r="I88" s="110"/>
      <c r="J88" s="90">
        <f t="shared" si="3"/>
        <v>-100</v>
      </c>
      <c r="K88" s="109"/>
      <c r="L88" s="90">
        <f>K88/(F88+1E-106)*100-100</f>
        <v>-100</v>
      </c>
      <c r="M88" s="91">
        <f>K88-I88</f>
        <v>0</v>
      </c>
      <c r="N88" s="106"/>
      <c r="O88" s="161"/>
      <c r="Q88" s="7"/>
      <c r="R88" s="9"/>
    </row>
    <row r="89" spans="1:18" ht="27" customHeight="1" hidden="1">
      <c r="A89" s="1"/>
      <c r="B89" s="40" t="s">
        <v>182</v>
      </c>
      <c r="C89" s="31" t="s">
        <v>162</v>
      </c>
      <c r="D89" s="105" t="s">
        <v>160</v>
      </c>
      <c r="E89" s="108" t="s">
        <v>160</v>
      </c>
      <c r="F89" s="109"/>
      <c r="G89" s="111"/>
      <c r="H89" s="111"/>
      <c r="I89" s="110"/>
      <c r="J89" s="90">
        <f t="shared" si="3"/>
        <v>-100</v>
      </c>
      <c r="K89" s="109"/>
      <c r="L89" s="90">
        <f>K89/(F89+1E-106)*100-100</f>
        <v>-100</v>
      </c>
      <c r="M89" s="91">
        <f>K89-I89</f>
        <v>0</v>
      </c>
      <c r="N89" s="106"/>
      <c r="O89" s="161"/>
      <c r="Q89" s="7"/>
      <c r="R89" s="9"/>
    </row>
    <row r="90" spans="1:18" ht="27" customHeight="1" hidden="1">
      <c r="A90" s="1" t="s">
        <v>62</v>
      </c>
      <c r="B90" s="39" t="s">
        <v>122</v>
      </c>
      <c r="C90" s="31"/>
      <c r="D90" s="105"/>
      <c r="E90" s="108"/>
      <c r="F90" s="148"/>
      <c r="G90" s="108"/>
      <c r="H90" s="108"/>
      <c r="I90" s="149"/>
      <c r="J90" s="106"/>
      <c r="K90" s="148"/>
      <c r="L90" s="90"/>
      <c r="M90" s="91"/>
      <c r="N90" s="106"/>
      <c r="O90" s="161"/>
      <c r="Q90" s="7"/>
      <c r="R90" s="9"/>
    </row>
    <row r="91" spans="1:18" ht="27" customHeight="1" hidden="1">
      <c r="A91" s="1"/>
      <c r="B91" s="40" t="s">
        <v>28</v>
      </c>
      <c r="C91" s="31" t="s">
        <v>44</v>
      </c>
      <c r="D91" s="98"/>
      <c r="E91" s="111"/>
      <c r="F91" s="105">
        <f>F73*F77/100</f>
        <v>0</v>
      </c>
      <c r="G91" s="91"/>
      <c r="H91" s="91"/>
      <c r="I91" s="107">
        <f>I73*I77/100</f>
        <v>0</v>
      </c>
      <c r="J91" s="90">
        <f t="shared" si="3"/>
        <v>-100</v>
      </c>
      <c r="K91" s="105">
        <f>K73*K77/100</f>
        <v>0</v>
      </c>
      <c r="L91" s="90">
        <f>K91/(F91+1E-106)*100-100</f>
        <v>-100</v>
      </c>
      <c r="M91" s="91">
        <f>K91-I91</f>
        <v>0</v>
      </c>
      <c r="N91" s="106"/>
      <c r="O91" s="161"/>
      <c r="Q91" s="7"/>
      <c r="R91" s="9"/>
    </row>
    <row r="92" spans="1:18" ht="27" customHeight="1" hidden="1">
      <c r="A92" s="1"/>
      <c r="B92" s="40" t="s">
        <v>33</v>
      </c>
      <c r="C92" s="31" t="s">
        <v>45</v>
      </c>
      <c r="D92" s="98"/>
      <c r="E92" s="108">
        <f>E144/(E91+1E-107)</f>
        <v>0</v>
      </c>
      <c r="F92" s="109"/>
      <c r="G92" s="108">
        <f>(G144-G94*12*G95)/(G91+1E-107)</f>
        <v>0</v>
      </c>
      <c r="H92" s="108">
        <f>(H144-H94*12*H95)/(H91+1E-107)</f>
        <v>0</v>
      </c>
      <c r="I92" s="110"/>
      <c r="J92" s="90">
        <f t="shared" si="3"/>
        <v>-100</v>
      </c>
      <c r="K92" s="109"/>
      <c r="L92" s="90">
        <f>K92/(F92+1E-106)*100-100</f>
        <v>-100</v>
      </c>
      <c r="M92" s="91">
        <f>K92-I92</f>
        <v>0</v>
      </c>
      <c r="N92" s="106"/>
      <c r="O92" s="161"/>
      <c r="Q92" s="7"/>
      <c r="R92" s="9"/>
    </row>
    <row r="93" spans="1:18" ht="27" customHeight="1" hidden="1">
      <c r="A93" s="1"/>
      <c r="B93" s="40" t="s">
        <v>147</v>
      </c>
      <c r="C93" s="31" t="s">
        <v>132</v>
      </c>
      <c r="D93" s="98"/>
      <c r="E93" s="111"/>
      <c r="F93" s="109"/>
      <c r="G93" s="111"/>
      <c r="H93" s="111"/>
      <c r="I93" s="110"/>
      <c r="J93" s="90"/>
      <c r="K93" s="109"/>
      <c r="L93" s="90"/>
      <c r="M93" s="91"/>
      <c r="N93" s="106"/>
      <c r="O93" s="161"/>
      <c r="Q93" s="7"/>
      <c r="R93" s="9"/>
    </row>
    <row r="94" spans="1:18" ht="27" customHeight="1" hidden="1">
      <c r="A94" s="1"/>
      <c r="B94" s="40" t="s">
        <v>188</v>
      </c>
      <c r="C94" s="150" t="s">
        <v>161</v>
      </c>
      <c r="D94" s="105" t="s">
        <v>160</v>
      </c>
      <c r="E94" s="108" t="s">
        <v>160</v>
      </c>
      <c r="F94" s="109"/>
      <c r="G94" s="111"/>
      <c r="H94" s="111"/>
      <c r="I94" s="110"/>
      <c r="J94" s="90">
        <f t="shared" si="3"/>
        <v>-100</v>
      </c>
      <c r="K94" s="109"/>
      <c r="L94" s="90">
        <f>K94/(F94+1E-106)*100-100</f>
        <v>-100</v>
      </c>
      <c r="M94" s="91">
        <f>K94-I94</f>
        <v>0</v>
      </c>
      <c r="N94" s="106"/>
      <c r="O94" s="161"/>
      <c r="Q94" s="7"/>
      <c r="R94" s="9"/>
    </row>
    <row r="95" spans="1:18" ht="27" customHeight="1" hidden="1">
      <c r="A95" s="1"/>
      <c r="B95" s="40" t="s">
        <v>182</v>
      </c>
      <c r="C95" s="31" t="s">
        <v>162</v>
      </c>
      <c r="D95" s="105" t="s">
        <v>160</v>
      </c>
      <c r="E95" s="108" t="s">
        <v>160</v>
      </c>
      <c r="F95" s="109"/>
      <c r="G95" s="111"/>
      <c r="H95" s="111"/>
      <c r="I95" s="110"/>
      <c r="J95" s="90">
        <f t="shared" si="3"/>
        <v>-100</v>
      </c>
      <c r="K95" s="109"/>
      <c r="L95" s="90">
        <f>K95/(F95+1E-106)*100-100</f>
        <v>-100</v>
      </c>
      <c r="M95" s="91">
        <f>K95-I95</f>
        <v>0</v>
      </c>
      <c r="N95" s="106"/>
      <c r="O95" s="161"/>
      <c r="Q95" s="7"/>
      <c r="R95" s="9"/>
    </row>
    <row r="96" spans="1:18" ht="27" customHeight="1" hidden="1">
      <c r="A96" s="1" t="s">
        <v>62</v>
      </c>
      <c r="B96" s="39" t="s">
        <v>123</v>
      </c>
      <c r="C96" s="31"/>
      <c r="D96" s="105"/>
      <c r="E96" s="108"/>
      <c r="F96" s="148"/>
      <c r="G96" s="108"/>
      <c r="H96" s="108"/>
      <c r="I96" s="149"/>
      <c r="J96" s="106"/>
      <c r="K96" s="148"/>
      <c r="L96" s="90"/>
      <c r="M96" s="91"/>
      <c r="N96" s="106"/>
      <c r="O96" s="161"/>
      <c r="Q96" s="7"/>
      <c r="R96" s="9"/>
    </row>
    <row r="97" spans="1:18" ht="27" customHeight="1" hidden="1">
      <c r="A97" s="1"/>
      <c r="B97" s="40" t="s">
        <v>28</v>
      </c>
      <c r="C97" s="31" t="s">
        <v>44</v>
      </c>
      <c r="D97" s="98"/>
      <c r="E97" s="111"/>
      <c r="F97" s="105">
        <f>F74*F77/100</f>
        <v>0</v>
      </c>
      <c r="G97" s="91"/>
      <c r="H97" s="91"/>
      <c r="I97" s="107">
        <f>I74*I77/100</f>
        <v>0</v>
      </c>
      <c r="J97" s="90">
        <f t="shared" si="3"/>
        <v>-100</v>
      </c>
      <c r="K97" s="105">
        <f>K74*K77/100</f>
        <v>0</v>
      </c>
      <c r="L97" s="90">
        <f>K97/(F97+1E-106)*100-100</f>
        <v>-100</v>
      </c>
      <c r="M97" s="91">
        <f>K97-I97</f>
        <v>0</v>
      </c>
      <c r="N97" s="106"/>
      <c r="O97" s="161"/>
      <c r="Q97" s="7"/>
      <c r="R97" s="9"/>
    </row>
    <row r="98" spans="1:18" ht="27" customHeight="1" hidden="1">
      <c r="A98" s="1"/>
      <c r="B98" s="40" t="s">
        <v>33</v>
      </c>
      <c r="C98" s="31" t="s">
        <v>45</v>
      </c>
      <c r="D98" s="98"/>
      <c r="E98" s="108">
        <f>E145/(E97+1E-107)</f>
        <v>0</v>
      </c>
      <c r="F98" s="109"/>
      <c r="G98" s="108">
        <f>(G145-G100*12*G101)/(G97+1E-107)</f>
        <v>0</v>
      </c>
      <c r="H98" s="108">
        <f>(H145-H100*12*H101)/(H97+1E-107)</f>
        <v>0</v>
      </c>
      <c r="I98" s="110"/>
      <c r="J98" s="90">
        <f t="shared" si="3"/>
        <v>-100</v>
      </c>
      <c r="K98" s="109"/>
      <c r="L98" s="90">
        <f>K98/(F98+1E-106)*100-100</f>
        <v>-100</v>
      </c>
      <c r="M98" s="91">
        <f>K98-I98</f>
        <v>0</v>
      </c>
      <c r="N98" s="106"/>
      <c r="O98" s="161"/>
      <c r="Q98" s="7"/>
      <c r="R98" s="9"/>
    </row>
    <row r="99" spans="1:18" ht="27" customHeight="1">
      <c r="A99" s="1"/>
      <c r="B99" s="40" t="s">
        <v>147</v>
      </c>
      <c r="C99" s="31" t="s">
        <v>132</v>
      </c>
      <c r="D99" s="98"/>
      <c r="E99" s="111"/>
      <c r="F99" s="109"/>
      <c r="G99" s="111"/>
      <c r="H99" s="111"/>
      <c r="I99" s="110"/>
      <c r="J99" s="90"/>
      <c r="K99" s="109"/>
      <c r="L99" s="90"/>
      <c r="M99" s="91"/>
      <c r="N99" s="106"/>
      <c r="O99" s="161"/>
      <c r="Q99" s="7"/>
      <c r="R99" s="9"/>
    </row>
    <row r="100" spans="1:18" ht="15.75" customHeight="1">
      <c r="A100" s="1"/>
      <c r="B100" s="40" t="s">
        <v>188</v>
      </c>
      <c r="C100" s="150" t="s">
        <v>161</v>
      </c>
      <c r="D100" s="105" t="s">
        <v>160</v>
      </c>
      <c r="E100" s="108" t="s">
        <v>160</v>
      </c>
      <c r="F100" s="109"/>
      <c r="G100" s="111"/>
      <c r="H100" s="111"/>
      <c r="I100" s="110"/>
      <c r="J100" s="90">
        <f t="shared" si="3"/>
        <v>-100</v>
      </c>
      <c r="K100" s="109"/>
      <c r="L100" s="90">
        <f>K100/(F100+1E-106)*100-100</f>
        <v>-100</v>
      </c>
      <c r="M100" s="91">
        <f>K100-I100</f>
        <v>0</v>
      </c>
      <c r="N100" s="106"/>
      <c r="O100" s="161"/>
      <c r="Q100" s="7"/>
      <c r="R100" s="9"/>
    </row>
    <row r="101" spans="1:18" ht="27" customHeight="1">
      <c r="A101" s="1"/>
      <c r="B101" s="40" t="s">
        <v>182</v>
      </c>
      <c r="C101" s="31" t="s">
        <v>162</v>
      </c>
      <c r="D101" s="105" t="s">
        <v>160</v>
      </c>
      <c r="E101" s="108" t="s">
        <v>160</v>
      </c>
      <c r="F101" s="109"/>
      <c r="G101" s="111"/>
      <c r="H101" s="111"/>
      <c r="I101" s="110"/>
      <c r="J101" s="90">
        <f t="shared" si="3"/>
        <v>-100</v>
      </c>
      <c r="K101" s="109"/>
      <c r="L101" s="90">
        <f>K101/(F101+1E-106)*100-100</f>
        <v>-100</v>
      </c>
      <c r="M101" s="91">
        <f>K101-I101</f>
        <v>0</v>
      </c>
      <c r="N101" s="106"/>
      <c r="O101" s="161"/>
      <c r="Q101" s="7"/>
      <c r="R101" s="9"/>
    </row>
    <row r="102" spans="1:18" ht="27" customHeight="1">
      <c r="A102" s="1" t="s">
        <v>62</v>
      </c>
      <c r="B102" s="39" t="s">
        <v>142</v>
      </c>
      <c r="C102" s="31" t="s">
        <v>44</v>
      </c>
      <c r="D102" s="157">
        <f aca="true" t="shared" si="10" ref="D102:I102">D104+D110+D116+D122</f>
        <v>0</v>
      </c>
      <c r="E102" s="156">
        <f t="shared" si="10"/>
        <v>86.1</v>
      </c>
      <c r="F102" s="157">
        <f t="shared" si="10"/>
        <v>0</v>
      </c>
      <c r="G102" s="156">
        <f t="shared" si="10"/>
        <v>133.6</v>
      </c>
      <c r="H102" s="156">
        <f t="shared" si="10"/>
        <v>133.6</v>
      </c>
      <c r="I102" s="156">
        <f t="shared" si="10"/>
        <v>0</v>
      </c>
      <c r="J102" s="92"/>
      <c r="K102" s="157">
        <f>K104+K110+K116+K122</f>
        <v>0</v>
      </c>
      <c r="L102" s="106"/>
      <c r="M102" s="92"/>
      <c r="N102" s="106"/>
      <c r="O102" s="161"/>
      <c r="Q102" s="7"/>
      <c r="R102" s="9"/>
    </row>
    <row r="103" spans="1:18" ht="12.75">
      <c r="A103" s="1" t="s">
        <v>62</v>
      </c>
      <c r="B103" s="39" t="s">
        <v>120</v>
      </c>
      <c r="C103" s="31"/>
      <c r="D103" s="105"/>
      <c r="E103" s="108"/>
      <c r="F103" s="105"/>
      <c r="G103" s="92"/>
      <c r="H103" s="92"/>
      <c r="I103" s="107"/>
      <c r="J103" s="92"/>
      <c r="K103" s="105"/>
      <c r="L103" s="106"/>
      <c r="M103" s="92"/>
      <c r="N103" s="106"/>
      <c r="O103" s="161"/>
      <c r="Q103" s="7"/>
      <c r="R103" s="9"/>
    </row>
    <row r="104" spans="1:18" ht="12.75">
      <c r="A104" s="185"/>
      <c r="B104" s="186" t="s">
        <v>28</v>
      </c>
      <c r="C104" s="187" t="s">
        <v>44</v>
      </c>
      <c r="D104" s="178"/>
      <c r="E104" s="180">
        <v>86.1</v>
      </c>
      <c r="F104" s="179">
        <f>F71-F79</f>
        <v>0</v>
      </c>
      <c r="G104" s="178">
        <v>133.6</v>
      </c>
      <c r="H104" s="178">
        <v>133.6</v>
      </c>
      <c r="I104" s="179">
        <f>I71-I79</f>
        <v>0</v>
      </c>
      <c r="J104" s="180">
        <f t="shared" si="3"/>
        <v>-100</v>
      </c>
      <c r="K104" s="179">
        <f>K71-K79</f>
        <v>0</v>
      </c>
      <c r="L104" s="90">
        <f>K104/(F104+1E-106)*100-100</f>
        <v>-100</v>
      </c>
      <c r="M104" s="91">
        <f>K104-I104</f>
        <v>0</v>
      </c>
      <c r="N104" s="106"/>
      <c r="O104" s="161"/>
      <c r="Q104" s="7"/>
      <c r="R104" s="9"/>
    </row>
    <row r="105" spans="1:18" ht="11.25" customHeight="1">
      <c r="A105" s="1"/>
      <c r="B105" s="40" t="s">
        <v>33</v>
      </c>
      <c r="C105" s="31" t="s">
        <v>45</v>
      </c>
      <c r="D105" s="98"/>
      <c r="E105" s="92">
        <f>E147/(E104+1E-107)</f>
        <v>2.38</v>
      </c>
      <c r="F105" s="98"/>
      <c r="G105" s="108">
        <f>(G147-G107*12*G108)/(G104+1E-107)</f>
        <v>2.1542</v>
      </c>
      <c r="H105" s="108">
        <f>(H147-H107*12*H108)/(H104+1E-107)</f>
        <v>8.8024</v>
      </c>
      <c r="I105" s="99"/>
      <c r="J105" s="90">
        <f t="shared" si="3"/>
        <v>-100</v>
      </c>
      <c r="K105" s="98"/>
      <c r="L105" s="90">
        <f>K105/(F105+1E-106)*100-100</f>
        <v>-100</v>
      </c>
      <c r="M105" s="91">
        <f>K105-I105</f>
        <v>0</v>
      </c>
      <c r="N105" s="106"/>
      <c r="O105" s="161"/>
      <c r="Q105" s="7"/>
      <c r="R105" s="9"/>
    </row>
    <row r="106" spans="1:18" ht="30.75" customHeight="1" hidden="1">
      <c r="A106" s="1"/>
      <c r="B106" s="40" t="s">
        <v>147</v>
      </c>
      <c r="C106" s="31" t="s">
        <v>132</v>
      </c>
      <c r="D106" s="98"/>
      <c r="E106" s="111"/>
      <c r="F106" s="98"/>
      <c r="G106" s="91"/>
      <c r="H106" s="91"/>
      <c r="I106" s="99"/>
      <c r="J106" s="91"/>
      <c r="K106" s="98"/>
      <c r="L106" s="106"/>
      <c r="M106" s="92"/>
      <c r="N106" s="106"/>
      <c r="O106" s="161"/>
      <c r="Q106" s="7"/>
      <c r="R106" s="9"/>
    </row>
    <row r="107" spans="1:18" ht="30.75" customHeight="1" hidden="1">
      <c r="A107" s="1"/>
      <c r="B107" s="40" t="s">
        <v>188</v>
      </c>
      <c r="C107" s="150" t="s">
        <v>161</v>
      </c>
      <c r="D107" s="105" t="s">
        <v>160</v>
      </c>
      <c r="E107" s="108" t="s">
        <v>160</v>
      </c>
      <c r="F107" s="98"/>
      <c r="G107" s="91"/>
      <c r="H107" s="91"/>
      <c r="I107" s="99"/>
      <c r="J107" s="90">
        <f t="shared" si="3"/>
        <v>-100</v>
      </c>
      <c r="K107" s="98"/>
      <c r="L107" s="90">
        <f>K107/(F107+1E-106)*100-100</f>
        <v>-100</v>
      </c>
      <c r="M107" s="91">
        <f>K107-I107</f>
        <v>0</v>
      </c>
      <c r="N107" s="106"/>
      <c r="O107" s="161"/>
      <c r="Q107" s="7"/>
      <c r="R107" s="9"/>
    </row>
    <row r="108" spans="1:18" ht="30.75" customHeight="1" hidden="1">
      <c r="A108" s="1"/>
      <c r="B108" s="40" t="s">
        <v>182</v>
      </c>
      <c r="C108" s="31" t="s">
        <v>162</v>
      </c>
      <c r="D108" s="105" t="s">
        <v>160</v>
      </c>
      <c r="E108" s="108" t="s">
        <v>160</v>
      </c>
      <c r="F108" s="98"/>
      <c r="G108" s="91"/>
      <c r="H108" s="91"/>
      <c r="I108" s="99"/>
      <c r="J108" s="90">
        <f t="shared" si="3"/>
        <v>-100</v>
      </c>
      <c r="K108" s="98"/>
      <c r="L108" s="90">
        <f>K108/(F108+1E-106)*100-100</f>
        <v>-100</v>
      </c>
      <c r="M108" s="91">
        <f>K108-I108</f>
        <v>0</v>
      </c>
      <c r="N108" s="106"/>
      <c r="O108" s="161"/>
      <c r="Q108" s="7"/>
      <c r="R108" s="9"/>
    </row>
    <row r="109" spans="1:18" ht="30.75" customHeight="1" hidden="1">
      <c r="A109" s="1" t="s">
        <v>62</v>
      </c>
      <c r="B109" s="39" t="s">
        <v>121</v>
      </c>
      <c r="C109" s="31"/>
      <c r="D109" s="105"/>
      <c r="E109" s="108"/>
      <c r="F109" s="105"/>
      <c r="G109" s="92"/>
      <c r="H109" s="92"/>
      <c r="I109" s="107"/>
      <c r="J109" s="92"/>
      <c r="K109" s="105"/>
      <c r="L109" s="106"/>
      <c r="M109" s="92"/>
      <c r="N109" s="106"/>
      <c r="O109" s="161"/>
      <c r="Q109" s="7"/>
      <c r="R109" s="9"/>
    </row>
    <row r="110" spans="1:18" ht="30.75" customHeight="1" hidden="1">
      <c r="A110" s="1"/>
      <c r="B110" s="40" t="s">
        <v>28</v>
      </c>
      <c r="C110" s="31" t="s">
        <v>44</v>
      </c>
      <c r="D110" s="98"/>
      <c r="E110" s="111"/>
      <c r="F110" s="105">
        <f>F72-F85</f>
        <v>0</v>
      </c>
      <c r="G110" s="91"/>
      <c r="H110" s="91"/>
      <c r="I110" s="107">
        <f>I72-I85</f>
        <v>0</v>
      </c>
      <c r="J110" s="90">
        <f t="shared" si="3"/>
        <v>-100</v>
      </c>
      <c r="K110" s="105">
        <f>K72-K85</f>
        <v>0</v>
      </c>
      <c r="L110" s="90">
        <f>K110/(F110+1E-106)*100-100</f>
        <v>-100</v>
      </c>
      <c r="M110" s="91">
        <f>K110-I110</f>
        <v>0</v>
      </c>
      <c r="N110" s="106"/>
      <c r="O110" s="161"/>
      <c r="Q110" s="7"/>
      <c r="R110" s="9"/>
    </row>
    <row r="111" spans="1:18" ht="30.75" customHeight="1" hidden="1">
      <c r="A111" s="1"/>
      <c r="B111" s="40" t="s">
        <v>33</v>
      </c>
      <c r="C111" s="31" t="s">
        <v>45</v>
      </c>
      <c r="D111" s="98"/>
      <c r="E111" s="108">
        <f>E148/(E110+1E-107)</f>
        <v>0</v>
      </c>
      <c r="F111" s="98"/>
      <c r="G111" s="108">
        <f>(G148-G113*12*G114)/(G110+1E-107)</f>
        <v>0</v>
      </c>
      <c r="H111" s="108">
        <f>(H148-H113*12*H114)/(H110+1E-107)</f>
        <v>0</v>
      </c>
      <c r="I111" s="99"/>
      <c r="J111" s="90">
        <f t="shared" si="3"/>
        <v>-100</v>
      </c>
      <c r="K111" s="98"/>
      <c r="L111" s="90">
        <f>K111/(F111+1E-106)*100-100</f>
        <v>-100</v>
      </c>
      <c r="M111" s="91">
        <f>K111-I111</f>
        <v>0</v>
      </c>
      <c r="N111" s="106"/>
      <c r="O111" s="161"/>
      <c r="Q111" s="7"/>
      <c r="R111" s="9"/>
    </row>
    <row r="112" spans="1:18" ht="39" hidden="1">
      <c r="A112" s="1"/>
      <c r="B112" s="40" t="s">
        <v>147</v>
      </c>
      <c r="C112" s="31" t="s">
        <v>132</v>
      </c>
      <c r="D112" s="98"/>
      <c r="E112" s="111"/>
      <c r="F112" s="98"/>
      <c r="G112" s="91"/>
      <c r="H112" s="91"/>
      <c r="I112" s="99"/>
      <c r="J112" s="91"/>
      <c r="K112" s="98"/>
      <c r="L112" s="106"/>
      <c r="M112" s="92"/>
      <c r="N112" s="106"/>
      <c r="O112" s="161"/>
      <c r="Q112" s="7"/>
      <c r="R112" s="9"/>
    </row>
    <row r="113" spans="1:18" ht="27" customHeight="1" hidden="1">
      <c r="A113" s="1"/>
      <c r="B113" s="40" t="s">
        <v>188</v>
      </c>
      <c r="C113" s="150" t="s">
        <v>161</v>
      </c>
      <c r="D113" s="105" t="s">
        <v>160</v>
      </c>
      <c r="E113" s="108" t="s">
        <v>160</v>
      </c>
      <c r="F113" s="98"/>
      <c r="G113" s="91"/>
      <c r="H113" s="91"/>
      <c r="I113" s="99"/>
      <c r="J113" s="90">
        <f t="shared" si="3"/>
        <v>-100</v>
      </c>
      <c r="K113" s="98"/>
      <c r="L113" s="90">
        <f>K113/(F113+1E-106)*100-100</f>
        <v>-100</v>
      </c>
      <c r="M113" s="91">
        <f>K113-I113</f>
        <v>0</v>
      </c>
      <c r="N113" s="106"/>
      <c r="O113" s="161"/>
      <c r="Q113" s="7"/>
      <c r="R113" s="9"/>
    </row>
    <row r="114" spans="1:18" ht="27" customHeight="1" hidden="1">
      <c r="A114" s="1"/>
      <c r="B114" s="40" t="s">
        <v>182</v>
      </c>
      <c r="C114" s="31" t="s">
        <v>162</v>
      </c>
      <c r="D114" s="105" t="s">
        <v>160</v>
      </c>
      <c r="E114" s="108" t="s">
        <v>160</v>
      </c>
      <c r="F114" s="98"/>
      <c r="G114" s="91"/>
      <c r="H114" s="91"/>
      <c r="I114" s="99"/>
      <c r="J114" s="90">
        <f t="shared" si="3"/>
        <v>-100</v>
      </c>
      <c r="K114" s="98"/>
      <c r="L114" s="90">
        <f>K114/(F114+1E-106)*100-100</f>
        <v>-100</v>
      </c>
      <c r="M114" s="91">
        <f>K114-I114</f>
        <v>0</v>
      </c>
      <c r="N114" s="106"/>
      <c r="O114" s="161"/>
      <c r="Q114" s="7"/>
      <c r="R114" s="9"/>
    </row>
    <row r="115" spans="1:18" ht="27" customHeight="1" hidden="1">
      <c r="A115" s="1" t="s">
        <v>62</v>
      </c>
      <c r="B115" s="39" t="s">
        <v>122</v>
      </c>
      <c r="C115" s="31"/>
      <c r="D115" s="105"/>
      <c r="E115" s="108"/>
      <c r="F115" s="105"/>
      <c r="G115" s="92"/>
      <c r="H115" s="92"/>
      <c r="I115" s="107"/>
      <c r="J115" s="92"/>
      <c r="K115" s="105"/>
      <c r="L115" s="106"/>
      <c r="M115" s="92"/>
      <c r="N115" s="106"/>
      <c r="O115" s="161"/>
      <c r="Q115" s="7"/>
      <c r="R115" s="9"/>
    </row>
    <row r="116" spans="1:18" ht="27" customHeight="1" hidden="1">
      <c r="A116" s="1"/>
      <c r="B116" s="40" t="s">
        <v>28</v>
      </c>
      <c r="C116" s="31" t="s">
        <v>44</v>
      </c>
      <c r="D116" s="98"/>
      <c r="E116" s="111"/>
      <c r="F116" s="105">
        <f>F73-F91</f>
        <v>0</v>
      </c>
      <c r="G116" s="91"/>
      <c r="H116" s="91"/>
      <c r="I116" s="107">
        <f>I73-I91</f>
        <v>0</v>
      </c>
      <c r="J116" s="90">
        <f t="shared" si="3"/>
        <v>-100</v>
      </c>
      <c r="K116" s="105">
        <f>K73-K91</f>
        <v>0</v>
      </c>
      <c r="L116" s="90">
        <f>K116/(F116+1E-106)*100-100</f>
        <v>-100</v>
      </c>
      <c r="M116" s="91">
        <f>K116-I116</f>
        <v>0</v>
      </c>
      <c r="N116" s="106"/>
      <c r="O116" s="161"/>
      <c r="Q116" s="7"/>
      <c r="R116" s="9"/>
    </row>
    <row r="117" spans="1:18" ht="27" customHeight="1" hidden="1">
      <c r="A117" s="1"/>
      <c r="B117" s="40" t="s">
        <v>33</v>
      </c>
      <c r="C117" s="31" t="s">
        <v>45</v>
      </c>
      <c r="D117" s="98"/>
      <c r="E117" s="108">
        <f>E149/(E116+1E-107)</f>
        <v>0</v>
      </c>
      <c r="F117" s="98"/>
      <c r="G117" s="108">
        <f>(G149-G119*12*G120)/(G116+1E-107)</f>
        <v>0</v>
      </c>
      <c r="H117" s="108">
        <f>(H149-H119*12*H120)/(H116+1E-107)</f>
        <v>0</v>
      </c>
      <c r="I117" s="99"/>
      <c r="J117" s="90">
        <f t="shared" si="3"/>
        <v>-100</v>
      </c>
      <c r="K117" s="98"/>
      <c r="L117" s="90">
        <f>K117/(F117+1E-106)*100-100</f>
        <v>-100</v>
      </c>
      <c r="M117" s="91">
        <f>K117-I117</f>
        <v>0</v>
      </c>
      <c r="N117" s="106"/>
      <c r="O117" s="161"/>
      <c r="Q117" s="7"/>
      <c r="R117" s="9"/>
    </row>
    <row r="118" spans="1:18" ht="27" customHeight="1" hidden="1">
      <c r="A118" s="1"/>
      <c r="B118" s="40" t="s">
        <v>147</v>
      </c>
      <c r="C118" s="31" t="s">
        <v>132</v>
      </c>
      <c r="D118" s="98"/>
      <c r="E118" s="111"/>
      <c r="F118" s="98"/>
      <c r="G118" s="91"/>
      <c r="H118" s="91"/>
      <c r="I118" s="99"/>
      <c r="J118" s="91"/>
      <c r="K118" s="98"/>
      <c r="L118" s="106"/>
      <c r="M118" s="92"/>
      <c r="N118" s="106"/>
      <c r="O118" s="161"/>
      <c r="Q118" s="7"/>
      <c r="R118" s="9"/>
    </row>
    <row r="119" spans="1:18" ht="27" customHeight="1" hidden="1">
      <c r="A119" s="1"/>
      <c r="B119" s="40" t="s">
        <v>188</v>
      </c>
      <c r="C119" s="150" t="s">
        <v>161</v>
      </c>
      <c r="D119" s="105" t="s">
        <v>160</v>
      </c>
      <c r="E119" s="108" t="s">
        <v>160</v>
      </c>
      <c r="F119" s="98"/>
      <c r="G119" s="91"/>
      <c r="H119" s="91"/>
      <c r="I119" s="99"/>
      <c r="J119" s="90">
        <f t="shared" si="3"/>
        <v>-100</v>
      </c>
      <c r="K119" s="98"/>
      <c r="L119" s="90">
        <f>K119/(F119+1E-106)*100-100</f>
        <v>-100</v>
      </c>
      <c r="M119" s="91">
        <f>K119-I119</f>
        <v>0</v>
      </c>
      <c r="N119" s="106"/>
      <c r="O119" s="161"/>
      <c r="Q119" s="7"/>
      <c r="R119" s="9"/>
    </row>
    <row r="120" spans="1:18" ht="27" customHeight="1" hidden="1">
      <c r="A120" s="1"/>
      <c r="B120" s="40" t="s">
        <v>182</v>
      </c>
      <c r="C120" s="31" t="s">
        <v>162</v>
      </c>
      <c r="D120" s="105" t="s">
        <v>160</v>
      </c>
      <c r="E120" s="108" t="s">
        <v>160</v>
      </c>
      <c r="F120" s="98"/>
      <c r="G120" s="91"/>
      <c r="H120" s="91"/>
      <c r="I120" s="99"/>
      <c r="J120" s="90">
        <f t="shared" si="3"/>
        <v>-100</v>
      </c>
      <c r="K120" s="98"/>
      <c r="L120" s="90">
        <f>K120/(F120+1E-106)*100-100</f>
        <v>-100</v>
      </c>
      <c r="M120" s="91">
        <f>K120-I120</f>
        <v>0</v>
      </c>
      <c r="N120" s="106"/>
      <c r="O120" s="161"/>
      <c r="Q120" s="7"/>
      <c r="R120" s="9"/>
    </row>
    <row r="121" spans="1:18" ht="27" customHeight="1" hidden="1">
      <c r="A121" s="1" t="s">
        <v>62</v>
      </c>
      <c r="B121" s="39" t="s">
        <v>123</v>
      </c>
      <c r="C121" s="31"/>
      <c r="D121" s="105"/>
      <c r="E121" s="108"/>
      <c r="F121" s="105"/>
      <c r="G121" s="92"/>
      <c r="H121" s="92"/>
      <c r="I121" s="107"/>
      <c r="J121" s="92"/>
      <c r="K121" s="105"/>
      <c r="L121" s="106"/>
      <c r="M121" s="92"/>
      <c r="N121" s="106"/>
      <c r="O121" s="161"/>
      <c r="Q121" s="7"/>
      <c r="R121" s="9"/>
    </row>
    <row r="122" spans="1:18" ht="0.75" customHeight="1">
      <c r="A122" s="1"/>
      <c r="B122" s="40" t="s">
        <v>28</v>
      </c>
      <c r="C122" s="31" t="s">
        <v>44</v>
      </c>
      <c r="D122" s="98"/>
      <c r="E122" s="111"/>
      <c r="F122" s="105">
        <f>F74-F97</f>
        <v>0</v>
      </c>
      <c r="G122" s="91"/>
      <c r="H122" s="91"/>
      <c r="I122" s="107">
        <f>I74-I97</f>
        <v>0</v>
      </c>
      <c r="J122" s="90">
        <f t="shared" si="3"/>
        <v>-100</v>
      </c>
      <c r="K122" s="105">
        <f>K74-K97</f>
        <v>0</v>
      </c>
      <c r="L122" s="90">
        <f>K122/(F122+1E-106)*100-100</f>
        <v>-100</v>
      </c>
      <c r="M122" s="91">
        <f>K122-I122</f>
        <v>0</v>
      </c>
      <c r="N122" s="106"/>
      <c r="O122" s="161"/>
      <c r="Q122" s="7"/>
      <c r="R122" s="9"/>
    </row>
    <row r="123" spans="1:18" ht="27" customHeight="1" hidden="1">
      <c r="A123" s="1"/>
      <c r="B123" s="40" t="s">
        <v>33</v>
      </c>
      <c r="C123" s="31" t="s">
        <v>45</v>
      </c>
      <c r="D123" s="98"/>
      <c r="E123" s="108">
        <f>E150/(E122+1E-107)</f>
        <v>0</v>
      </c>
      <c r="F123" s="98"/>
      <c r="G123" s="108">
        <f>(G150-G125*12*G126)/(G122+1E-107)</f>
        <v>0</v>
      </c>
      <c r="H123" s="108">
        <f>(H150-H125*12*H126)/(H122+1E-107)</f>
        <v>0</v>
      </c>
      <c r="I123" s="99"/>
      <c r="J123" s="90">
        <f t="shared" si="3"/>
        <v>-100</v>
      </c>
      <c r="K123" s="98"/>
      <c r="L123" s="90">
        <f>K123/(F123+1E-106)*100-100</f>
        <v>-100</v>
      </c>
      <c r="M123" s="91">
        <f>K123-I123</f>
        <v>0</v>
      </c>
      <c r="N123" s="106"/>
      <c r="O123" s="161"/>
      <c r="Q123" s="7"/>
      <c r="R123" s="9"/>
    </row>
    <row r="124" spans="1:18" ht="27" customHeight="1" hidden="1">
      <c r="A124" s="1"/>
      <c r="B124" s="40" t="s">
        <v>147</v>
      </c>
      <c r="C124" s="31" t="s">
        <v>132</v>
      </c>
      <c r="D124" s="98"/>
      <c r="E124" s="111"/>
      <c r="F124" s="98"/>
      <c r="G124" s="91"/>
      <c r="H124" s="91"/>
      <c r="I124" s="99"/>
      <c r="J124" s="91"/>
      <c r="K124" s="98"/>
      <c r="L124" s="106"/>
      <c r="M124" s="92"/>
      <c r="N124" s="106"/>
      <c r="O124" s="161"/>
      <c r="Q124" s="7"/>
      <c r="R124" s="9"/>
    </row>
    <row r="125" spans="1:18" ht="27" customHeight="1" hidden="1">
      <c r="A125" s="1"/>
      <c r="B125" s="40" t="s">
        <v>188</v>
      </c>
      <c r="C125" s="150" t="s">
        <v>161</v>
      </c>
      <c r="D125" s="105" t="s">
        <v>160</v>
      </c>
      <c r="E125" s="108" t="s">
        <v>160</v>
      </c>
      <c r="F125" s="98"/>
      <c r="G125" s="91"/>
      <c r="H125" s="91"/>
      <c r="I125" s="99"/>
      <c r="J125" s="90">
        <f>I125/(F125+1E-133)*100-100</f>
        <v>-100</v>
      </c>
      <c r="K125" s="98"/>
      <c r="L125" s="90">
        <f>K125/(F125+1E-106)*100-100</f>
        <v>-100</v>
      </c>
      <c r="M125" s="91">
        <f>K125-I125</f>
        <v>0</v>
      </c>
      <c r="N125" s="106"/>
      <c r="O125" s="161"/>
      <c r="Q125" s="7"/>
      <c r="R125" s="9"/>
    </row>
    <row r="126" spans="1:18" ht="27" customHeight="1" hidden="1">
      <c r="A126" s="1"/>
      <c r="B126" s="40" t="s">
        <v>182</v>
      </c>
      <c r="C126" s="31" t="s">
        <v>162</v>
      </c>
      <c r="D126" s="105" t="s">
        <v>160</v>
      </c>
      <c r="E126" s="108" t="s">
        <v>160</v>
      </c>
      <c r="F126" s="98"/>
      <c r="G126" s="91"/>
      <c r="H126" s="91"/>
      <c r="I126" s="99"/>
      <c r="J126" s="90">
        <f t="shared" si="3"/>
        <v>-100</v>
      </c>
      <c r="K126" s="98"/>
      <c r="L126" s="90">
        <f>K126/(F126+1E-106)*100-100</f>
        <v>-100</v>
      </c>
      <c r="M126" s="91">
        <f>K126-I126</f>
        <v>0</v>
      </c>
      <c r="N126" s="106"/>
      <c r="O126" s="161"/>
      <c r="Q126" s="7"/>
      <c r="R126" s="9"/>
    </row>
    <row r="127" spans="1:18" ht="15.75" customHeight="1">
      <c r="A127" s="51">
        <v>9</v>
      </c>
      <c r="B127" s="39" t="s">
        <v>10</v>
      </c>
      <c r="C127" s="31"/>
      <c r="D127" s="105"/>
      <c r="E127" s="108"/>
      <c r="F127" s="148"/>
      <c r="G127" s="108"/>
      <c r="H127" s="108"/>
      <c r="I127" s="149"/>
      <c r="J127" s="106"/>
      <c r="K127" s="148"/>
      <c r="L127" s="90"/>
      <c r="M127" s="91"/>
      <c r="N127" s="106"/>
      <c r="O127" s="161"/>
      <c r="Q127" s="7"/>
      <c r="R127" s="9"/>
    </row>
    <row r="128" spans="1:18" ht="26.25">
      <c r="A128" s="1"/>
      <c r="B128" s="40" t="s">
        <v>64</v>
      </c>
      <c r="C128" s="31" t="s">
        <v>65</v>
      </c>
      <c r="D128" s="98">
        <v>0.8</v>
      </c>
      <c r="E128" s="92">
        <f>E129*1000/(E9+1E-104)</f>
        <v>0.55</v>
      </c>
      <c r="F128" s="98">
        <v>0.8</v>
      </c>
      <c r="G128" s="107">
        <f>G129*1000/(G9+1E-104)</f>
        <v>0.34</v>
      </c>
      <c r="H128" s="107">
        <f>H129*1000/(H9+1E-104)</f>
        <v>0.8</v>
      </c>
      <c r="I128" s="99">
        <v>0.8</v>
      </c>
      <c r="J128" s="90">
        <f t="shared" si="3"/>
        <v>0</v>
      </c>
      <c r="K128" s="98">
        <v>0.8</v>
      </c>
      <c r="L128" s="90">
        <f>K128/(F128+1E-106)*100-100</f>
        <v>0</v>
      </c>
      <c r="M128" s="91">
        <f>K128-I128</f>
        <v>0</v>
      </c>
      <c r="N128" s="106"/>
      <c r="O128" s="161"/>
      <c r="Q128" s="7"/>
      <c r="R128" s="9"/>
    </row>
    <row r="129" spans="1:15" ht="11.25" customHeight="1">
      <c r="A129" s="1"/>
      <c r="B129" s="40" t="s">
        <v>29</v>
      </c>
      <c r="C129" s="31" t="s">
        <v>43</v>
      </c>
      <c r="D129" s="105">
        <f>D128*D9/1000</f>
        <v>9.29</v>
      </c>
      <c r="E129" s="91">
        <v>8.8</v>
      </c>
      <c r="F129" s="105">
        <f>F128*F9/1000</f>
        <v>10.19</v>
      </c>
      <c r="G129" s="91">
        <v>2.5</v>
      </c>
      <c r="H129" s="91">
        <v>10.19</v>
      </c>
      <c r="I129" s="92">
        <f>I128*I9/1000</f>
        <v>10.68</v>
      </c>
      <c r="J129" s="90">
        <f t="shared" si="3"/>
        <v>4.8</v>
      </c>
      <c r="K129" s="105">
        <f>K128*K9/1000</f>
        <v>10.68</v>
      </c>
      <c r="L129" s="90">
        <f>K129/(F129+1E-106)*100-100</f>
        <v>4.8</v>
      </c>
      <c r="M129" s="91">
        <f>K129-I129</f>
        <v>0</v>
      </c>
      <c r="N129" s="106"/>
      <c r="O129" s="160"/>
    </row>
    <row r="130" spans="1:15" ht="11.25" customHeight="1">
      <c r="A130" s="1"/>
      <c r="B130" s="40" t="s">
        <v>34</v>
      </c>
      <c r="C130" s="31" t="s">
        <v>46</v>
      </c>
      <c r="D130" s="98">
        <v>10.05</v>
      </c>
      <c r="E130" s="92">
        <f>E151/(E129+1E-108)</f>
        <v>4.8</v>
      </c>
      <c r="F130" s="98">
        <v>13.13</v>
      </c>
      <c r="G130" s="107">
        <f>G151/(G129+1E-108)</f>
        <v>8.2</v>
      </c>
      <c r="H130" s="107">
        <f>H151/(H129+1E-108)</f>
        <v>13.13</v>
      </c>
      <c r="I130" s="99">
        <v>15.1</v>
      </c>
      <c r="J130" s="90">
        <f t="shared" si="3"/>
        <v>15</v>
      </c>
      <c r="K130" s="98">
        <v>15.1</v>
      </c>
      <c r="L130" s="90">
        <f aca="true" t="shared" si="11" ref="L130:L199">K130/(F130+1E-106)*100-100</f>
        <v>15</v>
      </c>
      <c r="M130" s="91">
        <f>K130-I130</f>
        <v>0</v>
      </c>
      <c r="N130" s="106"/>
      <c r="O130" s="160"/>
    </row>
    <row r="131" spans="1:15" ht="12.75" customHeight="1">
      <c r="A131" s="60"/>
      <c r="B131" s="59" t="s">
        <v>72</v>
      </c>
      <c r="C131" s="31"/>
      <c r="D131" s="105"/>
      <c r="E131" s="92"/>
      <c r="F131" s="105"/>
      <c r="G131" s="107"/>
      <c r="H131" s="107"/>
      <c r="I131" s="107"/>
      <c r="J131" s="106"/>
      <c r="K131" s="105"/>
      <c r="L131" s="90"/>
      <c r="M131" s="91"/>
      <c r="N131" s="106"/>
      <c r="O131" s="160"/>
    </row>
    <row r="132" spans="1:15" ht="14.25" customHeight="1">
      <c r="A132" s="51">
        <v>10</v>
      </c>
      <c r="B132" s="39" t="s">
        <v>94</v>
      </c>
      <c r="C132" s="52" t="s">
        <v>8</v>
      </c>
      <c r="D132" s="113">
        <f>SUMIF(D133:D139,"&gt;0")</f>
        <v>3564.91</v>
      </c>
      <c r="E132" s="86">
        <f>E133+E134+E135+E136+E137+E138+E139</f>
        <v>4528.74</v>
      </c>
      <c r="F132" s="113">
        <f>SUMIF(F133:F139,"&gt;0")</f>
        <v>4956.51</v>
      </c>
      <c r="G132" s="86">
        <f>G133+G134+G135+G136+G137+G138+G139</f>
        <v>2731.6</v>
      </c>
      <c r="H132" s="86">
        <f>H133+H134+H135+H136+H137+H138+H139</f>
        <v>5893.5</v>
      </c>
      <c r="I132" s="112">
        <f>SUMIF(I133:I139,"&gt;0")</f>
        <v>5970.98</v>
      </c>
      <c r="J132" s="90">
        <f aca="true" t="shared" si="12" ref="J132:J199">I132/(F132+1E-133)*100-100</f>
        <v>20.5</v>
      </c>
      <c r="K132" s="113">
        <f>SUMIF(K133:K139,"&gt;0")</f>
        <v>5970.98</v>
      </c>
      <c r="L132" s="88">
        <f t="shared" si="11"/>
        <v>20.5</v>
      </c>
      <c r="M132" s="89">
        <f>K132-I132</f>
        <v>0</v>
      </c>
      <c r="N132" s="106">
        <f>K132/($K$198+1E-103)*100</f>
        <v>56.2</v>
      </c>
      <c r="O132" s="158"/>
    </row>
    <row r="133" spans="1:15" ht="15" customHeight="1">
      <c r="A133" s="1" t="s">
        <v>62</v>
      </c>
      <c r="B133" s="40" t="s">
        <v>96</v>
      </c>
      <c r="C133" s="31" t="s">
        <v>8</v>
      </c>
      <c r="D133" s="105">
        <f>D29*D30/1000</f>
        <v>3564.91</v>
      </c>
      <c r="E133" s="89">
        <v>4528.74</v>
      </c>
      <c r="F133" s="105">
        <f>F29*F30/1000</f>
        <v>4956.51</v>
      </c>
      <c r="G133" s="91">
        <v>2731.6</v>
      </c>
      <c r="H133" s="91">
        <v>5893.5</v>
      </c>
      <c r="I133" s="107">
        <f>I29*I30/1000</f>
        <v>5970.98</v>
      </c>
      <c r="J133" s="90">
        <f t="shared" si="12"/>
        <v>20.5</v>
      </c>
      <c r="K133" s="105">
        <f>K29*K30/1000</f>
        <v>5970.98</v>
      </c>
      <c r="L133" s="90">
        <f t="shared" si="11"/>
        <v>20.5</v>
      </c>
      <c r="M133" s="91">
        <f aca="true" t="shared" si="13" ref="M133:M139">K133-I133</f>
        <v>0</v>
      </c>
      <c r="N133" s="106"/>
      <c r="O133" s="158"/>
    </row>
    <row r="134" spans="1:15" ht="15" customHeight="1" hidden="1">
      <c r="A134" s="1" t="s">
        <v>62</v>
      </c>
      <c r="B134" s="40" t="s">
        <v>95</v>
      </c>
      <c r="C134" s="31" t="s">
        <v>8</v>
      </c>
      <c r="D134" s="105">
        <f>D35*D36/1000</f>
        <v>0</v>
      </c>
      <c r="E134" s="99"/>
      <c r="F134" s="105">
        <f>F35*F36/1000</f>
        <v>0</v>
      </c>
      <c r="G134" s="91"/>
      <c r="H134" s="91"/>
      <c r="I134" s="107">
        <f>I35*I36/1000</f>
        <v>0</v>
      </c>
      <c r="J134" s="90">
        <f t="shared" si="12"/>
        <v>-100</v>
      </c>
      <c r="K134" s="105">
        <f>K35*K36/1000</f>
        <v>0</v>
      </c>
      <c r="L134" s="90">
        <f t="shared" si="11"/>
        <v>-100</v>
      </c>
      <c r="M134" s="91">
        <f t="shared" si="13"/>
        <v>0</v>
      </c>
      <c r="N134" s="106"/>
      <c r="O134" s="158"/>
    </row>
    <row r="135" spans="1:15" ht="15" customHeight="1" hidden="1">
      <c r="A135" s="1" t="s">
        <v>62</v>
      </c>
      <c r="B135" s="40" t="s">
        <v>97</v>
      </c>
      <c r="C135" s="31" t="s">
        <v>8</v>
      </c>
      <c r="D135" s="105">
        <f>D41*D42/1000</f>
        <v>0</v>
      </c>
      <c r="E135" s="99"/>
      <c r="F135" s="105">
        <f>F41*F42/1000</f>
        <v>0</v>
      </c>
      <c r="G135" s="91"/>
      <c r="H135" s="91"/>
      <c r="I135" s="107">
        <f>I41*I42/1000</f>
        <v>0</v>
      </c>
      <c r="J135" s="90">
        <f t="shared" si="12"/>
        <v>-100</v>
      </c>
      <c r="K135" s="105">
        <f>K41*K42/1000</f>
        <v>0</v>
      </c>
      <c r="L135" s="90">
        <f t="shared" si="11"/>
        <v>-100</v>
      </c>
      <c r="M135" s="91">
        <f t="shared" si="13"/>
        <v>0</v>
      </c>
      <c r="N135" s="106"/>
      <c r="O135" s="158"/>
    </row>
    <row r="136" spans="1:15" ht="15" customHeight="1" hidden="1">
      <c r="A136" s="1" t="s">
        <v>62</v>
      </c>
      <c r="B136" s="40" t="s">
        <v>98</v>
      </c>
      <c r="C136" s="31" t="s">
        <v>8</v>
      </c>
      <c r="D136" s="105">
        <f>D47*D48/1000</f>
        <v>0</v>
      </c>
      <c r="E136" s="99"/>
      <c r="F136" s="105">
        <f>F47*F48/1000</f>
        <v>0</v>
      </c>
      <c r="G136" s="91"/>
      <c r="H136" s="91"/>
      <c r="I136" s="107">
        <f>I47*I48/1000</f>
        <v>0</v>
      </c>
      <c r="J136" s="90">
        <f t="shared" si="12"/>
        <v>-100</v>
      </c>
      <c r="K136" s="105">
        <f>K47*K48/1000</f>
        <v>0</v>
      </c>
      <c r="L136" s="90">
        <f t="shared" si="11"/>
        <v>-100</v>
      </c>
      <c r="M136" s="91">
        <f t="shared" si="13"/>
        <v>0</v>
      </c>
      <c r="N136" s="106"/>
      <c r="O136" s="158"/>
    </row>
    <row r="137" spans="1:15" ht="15" customHeight="1" hidden="1">
      <c r="A137" s="1" t="s">
        <v>62</v>
      </c>
      <c r="B137" s="40" t="s">
        <v>99</v>
      </c>
      <c r="C137" s="31" t="s">
        <v>8</v>
      </c>
      <c r="D137" s="105">
        <f>D53*D54/1000</f>
        <v>0</v>
      </c>
      <c r="E137" s="99"/>
      <c r="F137" s="105">
        <f>F53*F54/1000</f>
        <v>0</v>
      </c>
      <c r="G137" s="91"/>
      <c r="H137" s="91"/>
      <c r="I137" s="107">
        <f>I53*I54/1000</f>
        <v>0</v>
      </c>
      <c r="J137" s="90">
        <f t="shared" si="12"/>
        <v>-100</v>
      </c>
      <c r="K137" s="105">
        <f>K53*K54/1000</f>
        <v>0</v>
      </c>
      <c r="L137" s="90">
        <f t="shared" si="11"/>
        <v>-100</v>
      </c>
      <c r="M137" s="91">
        <f t="shared" si="13"/>
        <v>0</v>
      </c>
      <c r="N137" s="106"/>
      <c r="O137" s="158"/>
    </row>
    <row r="138" spans="1:15" ht="15" customHeight="1" hidden="1">
      <c r="A138" s="1" t="s">
        <v>62</v>
      </c>
      <c r="B138" s="40" t="s">
        <v>100</v>
      </c>
      <c r="C138" s="31" t="s">
        <v>8</v>
      </c>
      <c r="D138" s="105">
        <f>D59*D60/1000</f>
        <v>0</v>
      </c>
      <c r="E138" s="99"/>
      <c r="F138" s="105">
        <f>F59*F60/1000</f>
        <v>0</v>
      </c>
      <c r="G138" s="91"/>
      <c r="H138" s="91"/>
      <c r="I138" s="107">
        <f>I59*I60/1000</f>
        <v>0</v>
      </c>
      <c r="J138" s="90">
        <f t="shared" si="12"/>
        <v>-100</v>
      </c>
      <c r="K138" s="105">
        <f>K59*K60/1000</f>
        <v>0</v>
      </c>
      <c r="L138" s="90">
        <f t="shared" si="11"/>
        <v>-100</v>
      </c>
      <c r="M138" s="91">
        <f t="shared" si="13"/>
        <v>0</v>
      </c>
      <c r="N138" s="106"/>
      <c r="O138" s="158"/>
    </row>
    <row r="139" spans="1:15" ht="15" customHeight="1" hidden="1">
      <c r="A139" s="1" t="s">
        <v>62</v>
      </c>
      <c r="B139" s="40" t="s">
        <v>101</v>
      </c>
      <c r="C139" s="31" t="s">
        <v>8</v>
      </c>
      <c r="D139" s="105">
        <f>D65*D66/1000</f>
        <v>0</v>
      </c>
      <c r="E139" s="99"/>
      <c r="F139" s="105">
        <f>F65*F66/1000</f>
        <v>0</v>
      </c>
      <c r="G139" s="91"/>
      <c r="H139" s="91"/>
      <c r="I139" s="107">
        <f>I65*I66/1000</f>
        <v>0</v>
      </c>
      <c r="J139" s="90">
        <f t="shared" si="12"/>
        <v>-100</v>
      </c>
      <c r="K139" s="105">
        <f>K65*K66/1000</f>
        <v>0</v>
      </c>
      <c r="L139" s="90">
        <f t="shared" si="11"/>
        <v>-100</v>
      </c>
      <c r="M139" s="91">
        <f t="shared" si="13"/>
        <v>0</v>
      </c>
      <c r="N139" s="106"/>
      <c r="O139" s="158"/>
    </row>
    <row r="140" spans="1:17" ht="15" customHeight="1">
      <c r="A140" s="51">
        <v>11</v>
      </c>
      <c r="B140" s="39" t="s">
        <v>9</v>
      </c>
      <c r="C140" s="52" t="s">
        <v>8</v>
      </c>
      <c r="D140" s="113">
        <f aca="true" t="shared" si="14" ref="D140:I140">D141+D146</f>
        <v>939.09</v>
      </c>
      <c r="E140" s="112">
        <f t="shared" si="14"/>
        <v>532.1</v>
      </c>
      <c r="F140" s="113">
        <f t="shared" si="14"/>
        <v>1480.16</v>
      </c>
      <c r="G140" s="112">
        <f t="shared" si="14"/>
        <v>442.7</v>
      </c>
      <c r="H140" s="112">
        <f t="shared" si="14"/>
        <v>1479.1</v>
      </c>
      <c r="I140" s="112">
        <f t="shared" si="14"/>
        <v>1784.03</v>
      </c>
      <c r="J140" s="88">
        <f t="shared" si="12"/>
        <v>20.5</v>
      </c>
      <c r="K140" s="113">
        <f>K141+K146</f>
        <v>1784.03</v>
      </c>
      <c r="L140" s="88">
        <f t="shared" si="11"/>
        <v>20.5</v>
      </c>
      <c r="M140" s="89">
        <f aca="true" t="shared" si="15" ref="M140:M155">K140-I140</f>
        <v>0</v>
      </c>
      <c r="N140" s="106">
        <f>K140/($K$198+1E-103)*100</f>
        <v>16.8</v>
      </c>
      <c r="O140" s="162"/>
      <c r="Q140" s="7"/>
    </row>
    <row r="141" spans="1:17" ht="11.25" customHeight="1">
      <c r="A141" s="51"/>
      <c r="B141" s="155" t="s">
        <v>163</v>
      </c>
      <c r="C141" s="52"/>
      <c r="D141" s="151">
        <f>SUMIF(D142:D145,"&gt;0")</f>
        <v>939.09</v>
      </c>
      <c r="E141" s="152">
        <f>E142+E143+E144+E145</f>
        <v>327.3</v>
      </c>
      <c r="F141" s="151">
        <f>SUMIF(F142:F145,"&gt;0")</f>
        <v>1480.16</v>
      </c>
      <c r="G141" s="152">
        <f>G142+G143+G144+G145</f>
        <v>154.9</v>
      </c>
      <c r="H141" s="152">
        <f>H142+H143+H144+H145</f>
        <v>303.1</v>
      </c>
      <c r="I141" s="153">
        <f>SUMIF(I142:I145,"&gt;0")</f>
        <v>1784.03</v>
      </c>
      <c r="J141" s="90">
        <f>I141/(F141+1E-133)*100-100</f>
        <v>20.5</v>
      </c>
      <c r="K141" s="151">
        <f>SUMIF(K142:K145,"&gt;0")</f>
        <v>1784.03</v>
      </c>
      <c r="L141" s="90">
        <f aca="true" t="shared" si="16" ref="L141:L150">K141/(F141+1E-106)*100-100</f>
        <v>20.5</v>
      </c>
      <c r="M141" s="91">
        <f t="shared" si="15"/>
        <v>0</v>
      </c>
      <c r="N141" s="106"/>
      <c r="O141" s="162"/>
      <c r="Q141" s="7"/>
    </row>
    <row r="142" spans="1:17" ht="36.75" customHeight="1" hidden="1">
      <c r="A142" s="1" t="s">
        <v>62</v>
      </c>
      <c r="B142" s="40" t="s">
        <v>124</v>
      </c>
      <c r="C142" s="31" t="s">
        <v>8</v>
      </c>
      <c r="D142" s="105">
        <f>D79*D80</f>
        <v>939.09</v>
      </c>
      <c r="E142" s="99">
        <v>327.3</v>
      </c>
      <c r="F142" s="105">
        <f>F79*F80+F82*12*F83</f>
        <v>1480.16</v>
      </c>
      <c r="G142" s="99">
        <v>154.9</v>
      </c>
      <c r="H142" s="99">
        <v>303.1</v>
      </c>
      <c r="I142" s="107">
        <f>I79*I80+I82*12*I83</f>
        <v>1784.03</v>
      </c>
      <c r="J142" s="90">
        <f>I142/(F142+1E-133)*100-100</f>
        <v>20.5</v>
      </c>
      <c r="K142" s="105">
        <f>K79*K80+K82*12*K83</f>
        <v>1784.03</v>
      </c>
      <c r="L142" s="90">
        <f t="shared" si="16"/>
        <v>20.5</v>
      </c>
      <c r="M142" s="91">
        <f t="shared" si="15"/>
        <v>0</v>
      </c>
      <c r="N142" s="106"/>
      <c r="O142" s="162"/>
      <c r="Q142" s="7"/>
    </row>
    <row r="143" spans="1:17" ht="36.75" customHeight="1" hidden="1">
      <c r="A143" s="1" t="s">
        <v>62</v>
      </c>
      <c r="B143" s="40" t="s">
        <v>125</v>
      </c>
      <c r="C143" s="31" t="s">
        <v>8</v>
      </c>
      <c r="D143" s="105">
        <f>D85*D86</f>
        <v>0</v>
      </c>
      <c r="E143" s="99"/>
      <c r="F143" s="105">
        <f>F85*F86+F88*12*F89</f>
        <v>0</v>
      </c>
      <c r="G143" s="99"/>
      <c r="H143" s="99"/>
      <c r="I143" s="107">
        <f>I85*I86+I88*12*I89</f>
        <v>0</v>
      </c>
      <c r="J143" s="90">
        <f t="shared" si="12"/>
        <v>-100</v>
      </c>
      <c r="K143" s="105">
        <f>K85*K86+K88*12*K89</f>
        <v>0</v>
      </c>
      <c r="L143" s="90">
        <f t="shared" si="16"/>
        <v>-100</v>
      </c>
      <c r="M143" s="91">
        <f t="shared" si="15"/>
        <v>0</v>
      </c>
      <c r="N143" s="106"/>
      <c r="O143" s="162"/>
      <c r="Q143" s="7"/>
    </row>
    <row r="144" spans="1:17" ht="36.75" customHeight="1" hidden="1">
      <c r="A144" s="1" t="s">
        <v>62</v>
      </c>
      <c r="B144" s="40" t="s">
        <v>126</v>
      </c>
      <c r="C144" s="31" t="s">
        <v>8</v>
      </c>
      <c r="D144" s="105">
        <f>D91*D92</f>
        <v>0</v>
      </c>
      <c r="E144" s="99"/>
      <c r="F144" s="105">
        <f>F91*F92+F94*12*F95</f>
        <v>0</v>
      </c>
      <c r="G144" s="99"/>
      <c r="H144" s="99"/>
      <c r="I144" s="107">
        <f>I91*I92+I94*12*I95</f>
        <v>0</v>
      </c>
      <c r="J144" s="90">
        <f t="shared" si="12"/>
        <v>-100</v>
      </c>
      <c r="K144" s="105">
        <f>K91*K92+K94*12*K95</f>
        <v>0</v>
      </c>
      <c r="L144" s="90">
        <f t="shared" si="16"/>
        <v>-100</v>
      </c>
      <c r="M144" s="91">
        <f t="shared" si="15"/>
        <v>0</v>
      </c>
      <c r="N144" s="106"/>
      <c r="O144" s="162"/>
      <c r="Q144" s="7"/>
    </row>
    <row r="145" spans="1:17" ht="36.75" customHeight="1" hidden="1">
      <c r="A145" s="1" t="s">
        <v>62</v>
      </c>
      <c r="B145" s="40" t="s">
        <v>127</v>
      </c>
      <c r="C145" s="31" t="s">
        <v>8</v>
      </c>
      <c r="D145" s="105">
        <f>D97*D98</f>
        <v>0</v>
      </c>
      <c r="E145" s="99"/>
      <c r="F145" s="105">
        <f>F97*F98+F100*12*F101</f>
        <v>0</v>
      </c>
      <c r="G145" s="99"/>
      <c r="H145" s="99"/>
      <c r="I145" s="107">
        <f>I97*I98+I100*12*I101</f>
        <v>0</v>
      </c>
      <c r="J145" s="90">
        <f t="shared" si="12"/>
        <v>-100</v>
      </c>
      <c r="K145" s="105">
        <f>K97*K98+K100*12*K101</f>
        <v>0</v>
      </c>
      <c r="L145" s="90">
        <f t="shared" si="16"/>
        <v>-100</v>
      </c>
      <c r="M145" s="91">
        <f t="shared" si="15"/>
        <v>0</v>
      </c>
      <c r="N145" s="106"/>
      <c r="O145" s="162"/>
      <c r="Q145" s="7"/>
    </row>
    <row r="146" spans="1:17" ht="13.5" customHeight="1">
      <c r="A146" s="1"/>
      <c r="B146" s="155" t="s">
        <v>164</v>
      </c>
      <c r="C146" s="154" t="s">
        <v>8</v>
      </c>
      <c r="D146" s="151">
        <f>SUMIF(D147:D150,"&gt;0")</f>
        <v>0</v>
      </c>
      <c r="E146" s="156">
        <f>E147+E148+E149+E150</f>
        <v>204.8</v>
      </c>
      <c r="F146" s="151">
        <f>SUMIF(F147:F150,"&gt;0")</f>
        <v>0</v>
      </c>
      <c r="G146" s="156">
        <f>G147+G148+G149+G150</f>
        <v>287.8</v>
      </c>
      <c r="H146" s="156">
        <f>H147+H148+H149+H150</f>
        <v>1176</v>
      </c>
      <c r="I146" s="153">
        <f>SUMIF(I147:I150,"&gt;0")</f>
        <v>0</v>
      </c>
      <c r="J146" s="90">
        <f t="shared" si="12"/>
        <v>-100</v>
      </c>
      <c r="K146" s="151">
        <f>SUMIF(K147:K150,"&gt;0")</f>
        <v>0</v>
      </c>
      <c r="L146" s="90">
        <f t="shared" si="16"/>
        <v>-100</v>
      </c>
      <c r="M146" s="91">
        <f t="shared" si="15"/>
        <v>0</v>
      </c>
      <c r="N146" s="106"/>
      <c r="O146" s="162"/>
      <c r="Q146" s="7"/>
    </row>
    <row r="147" spans="1:17" ht="14.25" customHeight="1">
      <c r="A147" s="185" t="s">
        <v>62</v>
      </c>
      <c r="B147" s="186" t="s">
        <v>124</v>
      </c>
      <c r="C147" s="187" t="s">
        <v>8</v>
      </c>
      <c r="D147" s="179">
        <f>D104*D105</f>
        <v>0</v>
      </c>
      <c r="E147" s="178">
        <v>204.8</v>
      </c>
      <c r="F147" s="179">
        <f>F104*F105+F107*12*F108</f>
        <v>0</v>
      </c>
      <c r="G147" s="178">
        <v>287.8</v>
      </c>
      <c r="H147" s="178">
        <v>1176</v>
      </c>
      <c r="I147" s="179">
        <f>I104*I105+I107*12*I108</f>
        <v>0</v>
      </c>
      <c r="J147" s="180">
        <f t="shared" si="12"/>
        <v>-100</v>
      </c>
      <c r="K147" s="179">
        <f>K104*K105+K107*12*K108</f>
        <v>0</v>
      </c>
      <c r="L147" s="180">
        <f t="shared" si="16"/>
        <v>-100</v>
      </c>
      <c r="M147" s="91">
        <f t="shared" si="15"/>
        <v>0</v>
      </c>
      <c r="N147" s="106"/>
      <c r="O147" s="162"/>
      <c r="Q147" s="7"/>
    </row>
    <row r="148" spans="1:17" ht="27.75" customHeight="1" hidden="1">
      <c r="A148" s="1" t="s">
        <v>62</v>
      </c>
      <c r="B148" s="40" t="s">
        <v>125</v>
      </c>
      <c r="C148" s="31" t="s">
        <v>8</v>
      </c>
      <c r="D148" s="105">
        <f>D110*D111</f>
        <v>0</v>
      </c>
      <c r="E148" s="99"/>
      <c r="F148" s="105">
        <f>F110*F111+F113*12*F114</f>
        <v>0</v>
      </c>
      <c r="G148" s="99"/>
      <c r="H148" s="99"/>
      <c r="I148" s="107">
        <f>I110*I111+I113*12*I114</f>
        <v>0</v>
      </c>
      <c r="J148" s="90">
        <f t="shared" si="12"/>
        <v>-100</v>
      </c>
      <c r="K148" s="105">
        <f>K110*K111+K113*12*K114</f>
        <v>0</v>
      </c>
      <c r="L148" s="90">
        <f t="shared" si="16"/>
        <v>-100</v>
      </c>
      <c r="M148" s="91">
        <f t="shared" si="15"/>
        <v>0</v>
      </c>
      <c r="N148" s="106"/>
      <c r="O148" s="162"/>
      <c r="Q148" s="7"/>
    </row>
    <row r="149" spans="1:17" ht="27.75" customHeight="1" hidden="1">
      <c r="A149" s="1" t="s">
        <v>62</v>
      </c>
      <c r="B149" s="40" t="s">
        <v>126</v>
      </c>
      <c r="C149" s="31" t="s">
        <v>8</v>
      </c>
      <c r="D149" s="105">
        <f>D116*D117</f>
        <v>0</v>
      </c>
      <c r="E149" s="99"/>
      <c r="F149" s="105">
        <f>F116*F117+F119*12*F120</f>
        <v>0</v>
      </c>
      <c r="G149" s="99"/>
      <c r="H149" s="99"/>
      <c r="I149" s="107">
        <f>I116*I117+I119*12*I120</f>
        <v>0</v>
      </c>
      <c r="J149" s="90">
        <f t="shared" si="12"/>
        <v>-100</v>
      </c>
      <c r="K149" s="105">
        <f>K116*K117+K119*12*K120</f>
        <v>0</v>
      </c>
      <c r="L149" s="90">
        <f t="shared" si="16"/>
        <v>-100</v>
      </c>
      <c r="M149" s="91">
        <f t="shared" si="15"/>
        <v>0</v>
      </c>
      <c r="N149" s="106"/>
      <c r="O149" s="162"/>
      <c r="Q149" s="7"/>
    </row>
    <row r="150" spans="1:17" ht="27.75" customHeight="1" hidden="1">
      <c r="A150" s="1" t="s">
        <v>62</v>
      </c>
      <c r="B150" s="40" t="s">
        <v>127</v>
      </c>
      <c r="C150" s="31" t="s">
        <v>8</v>
      </c>
      <c r="D150" s="105">
        <f>D122*D123</f>
        <v>0</v>
      </c>
      <c r="E150" s="99"/>
      <c r="F150" s="105">
        <f>F122*F123+F125*12*F126</f>
        <v>0</v>
      </c>
      <c r="G150" s="99"/>
      <c r="H150" s="99"/>
      <c r="I150" s="107">
        <f>I122*I123+I125*12*I126</f>
        <v>0</v>
      </c>
      <c r="J150" s="90">
        <f t="shared" si="12"/>
        <v>-100</v>
      </c>
      <c r="K150" s="105">
        <f>K122*K123+K125*12*K126</f>
        <v>0</v>
      </c>
      <c r="L150" s="90">
        <f t="shared" si="16"/>
        <v>-100</v>
      </c>
      <c r="M150" s="91">
        <f t="shared" si="15"/>
        <v>0</v>
      </c>
      <c r="N150" s="106"/>
      <c r="O150" s="162"/>
      <c r="Q150" s="7"/>
    </row>
    <row r="151" spans="1:17" ht="17.25" customHeight="1">
      <c r="A151" s="51">
        <v>12</v>
      </c>
      <c r="B151" s="39" t="s">
        <v>10</v>
      </c>
      <c r="C151" s="52" t="s">
        <v>8</v>
      </c>
      <c r="D151" s="113">
        <f>D130*D129</f>
        <v>93.36</v>
      </c>
      <c r="E151" s="89">
        <v>42.2</v>
      </c>
      <c r="F151" s="113">
        <f>F130*F129</f>
        <v>133.79</v>
      </c>
      <c r="G151" s="144">
        <v>20.5</v>
      </c>
      <c r="H151" s="144">
        <v>133.8</v>
      </c>
      <c r="I151" s="112">
        <f>I130*I129</f>
        <v>161.27</v>
      </c>
      <c r="J151" s="88">
        <f t="shared" si="12"/>
        <v>20.5</v>
      </c>
      <c r="K151" s="113">
        <f>K130*K129</f>
        <v>161.27</v>
      </c>
      <c r="L151" s="88">
        <f t="shared" si="11"/>
        <v>20.5</v>
      </c>
      <c r="M151" s="89">
        <f t="shared" si="15"/>
        <v>0</v>
      </c>
      <c r="N151" s="106">
        <f>K151/($K$198+1E-103)*100</f>
        <v>1.5</v>
      </c>
      <c r="O151" s="158"/>
      <c r="Q151" s="7"/>
    </row>
    <row r="152" spans="1:15" ht="12.75">
      <c r="A152" s="51">
        <v>13</v>
      </c>
      <c r="B152" s="40" t="s">
        <v>11</v>
      </c>
      <c r="C152" s="31" t="s">
        <v>8</v>
      </c>
      <c r="D152" s="98">
        <v>43.1</v>
      </c>
      <c r="E152" s="91">
        <v>0</v>
      </c>
      <c r="F152" s="98">
        <v>43.1</v>
      </c>
      <c r="G152" s="99">
        <v>1.5</v>
      </c>
      <c r="H152" s="99">
        <v>43.2</v>
      </c>
      <c r="I152" s="99">
        <v>0</v>
      </c>
      <c r="J152" s="90">
        <f t="shared" si="12"/>
        <v>-100</v>
      </c>
      <c r="K152" s="98">
        <v>0</v>
      </c>
      <c r="L152" s="90">
        <f t="shared" si="11"/>
        <v>-100</v>
      </c>
      <c r="M152" s="91">
        <f t="shared" si="15"/>
        <v>0</v>
      </c>
      <c r="N152" s="106">
        <f>K152/($K$198+1E-103)*100</f>
        <v>0</v>
      </c>
      <c r="O152" s="163"/>
    </row>
    <row r="153" spans="1:15" ht="25.5" customHeight="1">
      <c r="A153" s="51">
        <v>14</v>
      </c>
      <c r="B153" s="40" t="s">
        <v>12</v>
      </c>
      <c r="C153" s="31" t="s">
        <v>8</v>
      </c>
      <c r="D153" s="98">
        <v>324</v>
      </c>
      <c r="E153" s="91">
        <v>402</v>
      </c>
      <c r="F153" s="98">
        <v>324</v>
      </c>
      <c r="G153" s="99">
        <v>111</v>
      </c>
      <c r="H153" s="99">
        <v>402</v>
      </c>
      <c r="I153" s="99">
        <v>434.5</v>
      </c>
      <c r="J153" s="90">
        <f t="shared" si="12"/>
        <v>34.1</v>
      </c>
      <c r="K153" s="98">
        <v>434.5</v>
      </c>
      <c r="L153" s="90">
        <f t="shared" si="11"/>
        <v>34.1</v>
      </c>
      <c r="M153" s="91">
        <f t="shared" si="15"/>
        <v>0</v>
      </c>
      <c r="N153" s="106">
        <f>K153/($K$198+1E-103)*100</f>
        <v>4.1</v>
      </c>
      <c r="O153" s="163"/>
    </row>
    <row r="154" spans="1:15" ht="12.75" customHeight="1">
      <c r="A154" s="1"/>
      <c r="B154" s="40" t="s">
        <v>13</v>
      </c>
      <c r="C154" s="44" t="s">
        <v>14</v>
      </c>
      <c r="D154" s="99">
        <f>D153/12/(D155+1E-100)*1000</f>
        <v>5400</v>
      </c>
      <c r="E154" s="99">
        <f>E153/12/(E155+1E-100)*1000</f>
        <v>6700</v>
      </c>
      <c r="F154" s="98">
        <f>F153/12/(F155+1E-100)*1000</f>
        <v>5400</v>
      </c>
      <c r="G154" s="99">
        <f>G153/3/(G155+1E-100)*1000</f>
        <v>7400</v>
      </c>
      <c r="H154" s="99">
        <f>H153/12/(H155+1E-100)*1000</f>
        <v>6700</v>
      </c>
      <c r="I154" s="99">
        <f>I153/12/(I155+1E-100)*1000</f>
        <v>7241.67</v>
      </c>
      <c r="J154" s="90">
        <f t="shared" si="12"/>
        <v>34.1</v>
      </c>
      <c r="K154" s="98">
        <f>K153/12/(K155+1E-100)*1000</f>
        <v>7241.67</v>
      </c>
      <c r="L154" s="90">
        <f t="shared" si="11"/>
        <v>34.1</v>
      </c>
      <c r="M154" s="91">
        <f t="shared" si="15"/>
        <v>0</v>
      </c>
      <c r="N154" s="106"/>
      <c r="O154" s="163"/>
    </row>
    <row r="155" spans="1:15" ht="12.75" customHeight="1">
      <c r="A155" s="1"/>
      <c r="B155" s="40" t="s">
        <v>35</v>
      </c>
      <c r="C155" s="44" t="s">
        <v>42</v>
      </c>
      <c r="D155" s="127">
        <v>5</v>
      </c>
      <c r="E155" s="77">
        <v>5</v>
      </c>
      <c r="F155" s="98">
        <v>5</v>
      </c>
      <c r="G155" s="99">
        <v>5</v>
      </c>
      <c r="H155" s="99">
        <v>5</v>
      </c>
      <c r="I155" s="99">
        <v>5</v>
      </c>
      <c r="J155" s="90">
        <f t="shared" si="12"/>
        <v>0</v>
      </c>
      <c r="K155" s="98">
        <v>5</v>
      </c>
      <c r="L155" s="90" t="s">
        <v>196</v>
      </c>
      <c r="M155" s="91">
        <f t="shared" si="15"/>
        <v>0</v>
      </c>
      <c r="N155" s="106"/>
      <c r="O155" s="163"/>
    </row>
    <row r="156" spans="1:15" ht="26.25">
      <c r="A156" s="51">
        <v>15</v>
      </c>
      <c r="B156" s="40" t="s">
        <v>194</v>
      </c>
      <c r="C156" s="31" t="s">
        <v>8</v>
      </c>
      <c r="D156" s="98">
        <v>84.9</v>
      </c>
      <c r="E156" s="91">
        <v>102.3</v>
      </c>
      <c r="F156" s="98">
        <v>84.9</v>
      </c>
      <c r="G156" s="99">
        <v>28.6</v>
      </c>
      <c r="H156" s="99">
        <v>102.3</v>
      </c>
      <c r="I156" s="99">
        <v>148.6</v>
      </c>
      <c r="J156" s="90">
        <f t="shared" si="12"/>
        <v>75</v>
      </c>
      <c r="K156" s="98">
        <v>148.6</v>
      </c>
      <c r="L156" s="90">
        <f t="shared" si="11"/>
        <v>75</v>
      </c>
      <c r="M156" s="91">
        <f aca="true" t="shared" si="17" ref="M156:M182">K156-I156</f>
        <v>0</v>
      </c>
      <c r="N156" s="106">
        <f>K156/($K$198+1E-103)*100</f>
        <v>1.4</v>
      </c>
      <c r="O156" s="163"/>
    </row>
    <row r="157" spans="1:15" ht="12.75">
      <c r="A157" s="51">
        <v>16</v>
      </c>
      <c r="B157" s="40" t="s">
        <v>15</v>
      </c>
      <c r="C157" s="31" t="s">
        <v>8</v>
      </c>
      <c r="D157" s="98">
        <v>291.8</v>
      </c>
      <c r="E157" s="91">
        <v>279.9</v>
      </c>
      <c r="F157" s="98">
        <v>250.5</v>
      </c>
      <c r="G157" s="99">
        <v>62.7</v>
      </c>
      <c r="H157" s="99">
        <v>291.8</v>
      </c>
      <c r="I157" s="99">
        <v>291.8</v>
      </c>
      <c r="J157" s="90">
        <f t="shared" si="12"/>
        <v>16.5</v>
      </c>
      <c r="K157" s="98">
        <v>291.8</v>
      </c>
      <c r="L157" s="90">
        <f t="shared" si="11"/>
        <v>16.5</v>
      </c>
      <c r="M157" s="91">
        <f t="shared" si="17"/>
        <v>0</v>
      </c>
      <c r="N157" s="106">
        <f>K157/($K$198+1E-103)*100</f>
        <v>2.7</v>
      </c>
      <c r="O157" s="163"/>
    </row>
    <row r="158" spans="1:15" ht="26.25">
      <c r="A158" s="51">
        <v>17</v>
      </c>
      <c r="B158" s="40" t="s">
        <v>74</v>
      </c>
      <c r="C158" s="31" t="s">
        <v>8</v>
      </c>
      <c r="D158" s="85">
        <f aca="true" t="shared" si="18" ref="D158:K158">D161+D160+D159</f>
        <v>339.7</v>
      </c>
      <c r="E158" s="84">
        <f t="shared" si="18"/>
        <v>4.2</v>
      </c>
      <c r="F158" s="105">
        <f t="shared" si="18"/>
        <v>339.7</v>
      </c>
      <c r="G158" s="107">
        <f t="shared" si="18"/>
        <v>11.5</v>
      </c>
      <c r="H158" s="107">
        <f t="shared" si="18"/>
        <v>339.7</v>
      </c>
      <c r="I158" s="107">
        <f t="shared" si="18"/>
        <v>181.8</v>
      </c>
      <c r="J158" s="90">
        <f t="shared" si="12"/>
        <v>-46.5</v>
      </c>
      <c r="K158" s="105">
        <f t="shared" si="18"/>
        <v>181.8</v>
      </c>
      <c r="L158" s="90">
        <f t="shared" si="11"/>
        <v>-46.5</v>
      </c>
      <c r="M158" s="91">
        <f t="shared" si="17"/>
        <v>0</v>
      </c>
      <c r="N158" s="106">
        <f>K158/($K$198+1E-103)*100</f>
        <v>1.7</v>
      </c>
      <c r="O158" s="160"/>
    </row>
    <row r="159" spans="1:15" ht="12.75">
      <c r="A159" s="1" t="s">
        <v>62</v>
      </c>
      <c r="B159" s="40" t="s">
        <v>23</v>
      </c>
      <c r="C159" s="31" t="s">
        <v>8</v>
      </c>
      <c r="D159" s="98">
        <v>47.1</v>
      </c>
      <c r="E159" s="77">
        <v>0</v>
      </c>
      <c r="F159" s="98">
        <v>47.1</v>
      </c>
      <c r="G159" s="99">
        <v>9</v>
      </c>
      <c r="H159" s="99">
        <v>15.7</v>
      </c>
      <c r="I159" s="99">
        <v>47.1</v>
      </c>
      <c r="J159" s="90">
        <f t="shared" si="12"/>
        <v>0</v>
      </c>
      <c r="K159" s="98">
        <v>47.1</v>
      </c>
      <c r="L159" s="90">
        <f t="shared" si="11"/>
        <v>0</v>
      </c>
      <c r="M159" s="91">
        <f t="shared" si="17"/>
        <v>0</v>
      </c>
      <c r="N159" s="106"/>
      <c r="O159" s="160"/>
    </row>
    <row r="160" spans="1:15" ht="12.75">
      <c r="A160" s="1" t="s">
        <v>62</v>
      </c>
      <c r="B160" s="40" t="s">
        <v>16</v>
      </c>
      <c r="C160" s="31" t="s">
        <v>8</v>
      </c>
      <c r="D160" s="98">
        <v>134.7</v>
      </c>
      <c r="E160" s="77">
        <v>2.1</v>
      </c>
      <c r="F160" s="98">
        <v>134.7</v>
      </c>
      <c r="G160" s="99">
        <v>2.2</v>
      </c>
      <c r="H160" s="99">
        <v>321</v>
      </c>
      <c r="I160" s="99">
        <v>134.7</v>
      </c>
      <c r="J160" s="90">
        <f t="shared" si="12"/>
        <v>0</v>
      </c>
      <c r="K160" s="98">
        <v>134.7</v>
      </c>
      <c r="L160" s="90">
        <f t="shared" si="11"/>
        <v>0</v>
      </c>
      <c r="M160" s="91">
        <f t="shared" si="17"/>
        <v>0</v>
      </c>
      <c r="N160" s="106"/>
      <c r="O160" s="160"/>
    </row>
    <row r="161" spans="1:16" ht="12.75" customHeight="1">
      <c r="A161" s="1" t="s">
        <v>62</v>
      </c>
      <c r="B161" s="40" t="s">
        <v>24</v>
      </c>
      <c r="C161" s="31" t="s">
        <v>8</v>
      </c>
      <c r="D161" s="98">
        <v>157.9</v>
      </c>
      <c r="E161" s="91">
        <v>2.1</v>
      </c>
      <c r="F161" s="98">
        <v>157.9</v>
      </c>
      <c r="G161" s="99">
        <v>0.3</v>
      </c>
      <c r="H161" s="99">
        <v>3</v>
      </c>
      <c r="I161" s="99"/>
      <c r="J161" s="90">
        <f t="shared" si="12"/>
        <v>-100</v>
      </c>
      <c r="K161" s="98"/>
      <c r="L161" s="90">
        <f t="shared" si="11"/>
        <v>-100</v>
      </c>
      <c r="M161" s="91">
        <f t="shared" si="17"/>
        <v>0</v>
      </c>
      <c r="N161" s="106"/>
      <c r="O161" s="160"/>
      <c r="P161" s="12"/>
    </row>
    <row r="162" spans="1:16" ht="27" customHeight="1">
      <c r="A162" s="51">
        <v>18</v>
      </c>
      <c r="B162" s="40" t="s">
        <v>117</v>
      </c>
      <c r="C162" s="31" t="s">
        <v>8</v>
      </c>
      <c r="D162" s="105">
        <f aca="true" t="shared" si="19" ref="D162:I162">D163+D166+D167</f>
        <v>45.5</v>
      </c>
      <c r="E162" s="92">
        <f t="shared" si="19"/>
        <v>45.7</v>
      </c>
      <c r="F162" s="105">
        <f t="shared" si="19"/>
        <v>45.5</v>
      </c>
      <c r="G162" s="107">
        <f t="shared" si="19"/>
        <v>45.5</v>
      </c>
      <c r="H162" s="107">
        <f t="shared" si="19"/>
        <v>45.5</v>
      </c>
      <c r="I162" s="107">
        <f t="shared" si="19"/>
        <v>48.3</v>
      </c>
      <c r="J162" s="90">
        <f>I162/(F162+1E-133)*100-100</f>
        <v>6.2</v>
      </c>
      <c r="K162" s="105">
        <f>K163+K166+K167</f>
        <v>48.3</v>
      </c>
      <c r="L162" s="90">
        <f t="shared" si="11"/>
        <v>6.2</v>
      </c>
      <c r="M162" s="91">
        <f t="shared" si="17"/>
        <v>0</v>
      </c>
      <c r="N162" s="106">
        <f>K162/($K$198+1E-103)*100</f>
        <v>0.5</v>
      </c>
      <c r="O162" s="163"/>
      <c r="P162" s="12"/>
    </row>
    <row r="163" spans="1:16" ht="12.75" customHeight="1">
      <c r="A163" s="1" t="s">
        <v>62</v>
      </c>
      <c r="B163" s="40" t="s">
        <v>118</v>
      </c>
      <c r="C163" s="31" t="s">
        <v>8</v>
      </c>
      <c r="D163" s="98">
        <v>36</v>
      </c>
      <c r="E163" s="91">
        <v>36</v>
      </c>
      <c r="F163" s="98">
        <v>36</v>
      </c>
      <c r="G163" s="99">
        <v>36</v>
      </c>
      <c r="H163" s="99">
        <v>36</v>
      </c>
      <c r="I163" s="99">
        <v>36</v>
      </c>
      <c r="J163" s="90">
        <f aca="true" t="shared" si="20" ref="J163:J173">I163/(F163+1E-133)*100-100</f>
        <v>0</v>
      </c>
      <c r="K163" s="98">
        <v>36</v>
      </c>
      <c r="L163" s="90">
        <f t="shared" si="11"/>
        <v>0</v>
      </c>
      <c r="M163" s="91">
        <f t="shared" si="17"/>
        <v>0</v>
      </c>
      <c r="N163" s="106"/>
      <c r="O163" s="163"/>
      <c r="P163" s="12"/>
    </row>
    <row r="164" spans="1:16" ht="12.75" customHeight="1">
      <c r="A164" s="1"/>
      <c r="B164" s="40" t="s">
        <v>169</v>
      </c>
      <c r="C164" s="44" t="s">
        <v>14</v>
      </c>
      <c r="D164" s="98">
        <f>D163/D165/12*1000</f>
        <v>1000</v>
      </c>
      <c r="E164" s="99">
        <f>E163/E165/12*1000</f>
        <v>1000</v>
      </c>
      <c r="F164" s="98">
        <f>F163/12/(F165+1E-100)*1000</f>
        <v>1000</v>
      </c>
      <c r="G164" s="99">
        <f>G163/12/(G165+1E-100)*1000</f>
        <v>1000</v>
      </c>
      <c r="H164" s="99">
        <f>H163/12/(H165+1E-100)*1000</f>
        <v>1000</v>
      </c>
      <c r="I164" s="99">
        <f>I163/12/(I165+1E-100)*1000</f>
        <v>1000</v>
      </c>
      <c r="J164" s="90">
        <f t="shared" si="20"/>
        <v>0</v>
      </c>
      <c r="K164" s="98">
        <f>K163/12/(K165+1E-100)*1000</f>
        <v>1000</v>
      </c>
      <c r="L164" s="90"/>
      <c r="M164" s="91"/>
      <c r="N164" s="106"/>
      <c r="O164" s="163"/>
      <c r="P164" s="12"/>
    </row>
    <row r="165" spans="1:16" ht="12.75" customHeight="1">
      <c r="A165" s="1"/>
      <c r="B165" s="40" t="s">
        <v>35</v>
      </c>
      <c r="C165" s="44" t="s">
        <v>42</v>
      </c>
      <c r="D165" s="98">
        <v>3</v>
      </c>
      <c r="E165" s="91">
        <v>3</v>
      </c>
      <c r="F165" s="98">
        <v>3</v>
      </c>
      <c r="G165" s="99">
        <v>3</v>
      </c>
      <c r="H165" s="99">
        <v>3</v>
      </c>
      <c r="I165" s="99">
        <v>3</v>
      </c>
      <c r="J165" s="90"/>
      <c r="K165" s="98">
        <v>3</v>
      </c>
      <c r="L165" s="90"/>
      <c r="M165" s="91"/>
      <c r="N165" s="106"/>
      <c r="O165" s="163"/>
      <c r="P165" s="12"/>
    </row>
    <row r="166" spans="1:16" ht="26.25">
      <c r="A166" s="1" t="s">
        <v>62</v>
      </c>
      <c r="B166" s="40" t="s">
        <v>194</v>
      </c>
      <c r="C166" s="31" t="s">
        <v>8</v>
      </c>
      <c r="D166" s="98">
        <v>9.5</v>
      </c>
      <c r="E166" s="91">
        <v>9.5</v>
      </c>
      <c r="F166" s="98">
        <v>9.5</v>
      </c>
      <c r="G166" s="99">
        <v>9.5</v>
      </c>
      <c r="H166" s="99">
        <v>9.5</v>
      </c>
      <c r="I166" s="99">
        <v>12.3</v>
      </c>
      <c r="J166" s="90">
        <f t="shared" si="20"/>
        <v>29.5</v>
      </c>
      <c r="K166" s="98">
        <v>12.3</v>
      </c>
      <c r="L166" s="90">
        <f t="shared" si="11"/>
        <v>29.5</v>
      </c>
      <c r="M166" s="91">
        <f t="shared" si="17"/>
        <v>0</v>
      </c>
      <c r="N166" s="106"/>
      <c r="O166" s="163"/>
      <c r="P166" s="12"/>
    </row>
    <row r="167" spans="1:16" ht="12.75" customHeight="1">
      <c r="A167" s="1" t="s">
        <v>62</v>
      </c>
      <c r="B167" s="40" t="s">
        <v>68</v>
      </c>
      <c r="C167" s="31" t="s">
        <v>8</v>
      </c>
      <c r="D167" s="98">
        <v>0</v>
      </c>
      <c r="E167" s="91">
        <v>0.2</v>
      </c>
      <c r="F167" s="98">
        <v>0</v>
      </c>
      <c r="G167" s="99">
        <v>0</v>
      </c>
      <c r="H167" s="99">
        <v>0</v>
      </c>
      <c r="I167" s="99">
        <v>0</v>
      </c>
      <c r="J167" s="90">
        <f t="shared" si="20"/>
        <v>-100</v>
      </c>
      <c r="K167" s="98">
        <v>0</v>
      </c>
      <c r="L167" s="90">
        <f t="shared" si="11"/>
        <v>-100</v>
      </c>
      <c r="M167" s="91">
        <f t="shared" si="17"/>
        <v>0</v>
      </c>
      <c r="N167" s="106"/>
      <c r="O167" s="163"/>
      <c r="P167" s="12"/>
    </row>
    <row r="168" spans="1:16" ht="24">
      <c r="A168" s="51">
        <v>19</v>
      </c>
      <c r="B168" s="41" t="s">
        <v>119</v>
      </c>
      <c r="C168" s="31" t="s">
        <v>8</v>
      </c>
      <c r="D168" s="105">
        <f aca="true" t="shared" si="21" ref="D168:I168">D169+D172+D173</f>
        <v>0</v>
      </c>
      <c r="E168" s="92">
        <f t="shared" si="21"/>
        <v>0</v>
      </c>
      <c r="F168" s="105">
        <f t="shared" si="21"/>
        <v>0</v>
      </c>
      <c r="G168" s="107">
        <f t="shared" si="21"/>
        <v>0</v>
      </c>
      <c r="H168" s="107">
        <f t="shared" si="21"/>
        <v>0</v>
      </c>
      <c r="I168" s="107">
        <f t="shared" si="21"/>
        <v>4.96</v>
      </c>
      <c r="J168" s="90">
        <f t="shared" si="20"/>
        <v>4.96E+135</v>
      </c>
      <c r="K168" s="105">
        <f>K169+K172+K173</f>
        <v>4.96</v>
      </c>
      <c r="L168" s="90">
        <f t="shared" si="11"/>
        <v>4.96E+108</v>
      </c>
      <c r="M168" s="91">
        <f t="shared" si="17"/>
        <v>0</v>
      </c>
      <c r="N168" s="106">
        <f>K168/($K$198+1E-103)*100</f>
        <v>0</v>
      </c>
      <c r="O168" s="163"/>
      <c r="P168" s="5"/>
    </row>
    <row r="169" spans="1:16" ht="12.75">
      <c r="A169" s="1" t="s">
        <v>62</v>
      </c>
      <c r="B169" s="40" t="s">
        <v>118</v>
      </c>
      <c r="C169" s="31" t="s">
        <v>8</v>
      </c>
      <c r="D169" s="98">
        <v>0</v>
      </c>
      <c r="E169" s="91"/>
      <c r="F169" s="98"/>
      <c r="G169" s="99"/>
      <c r="H169" s="99"/>
      <c r="I169" s="99"/>
      <c r="J169" s="90">
        <f t="shared" si="20"/>
        <v>-100</v>
      </c>
      <c r="K169" s="98"/>
      <c r="L169" s="90">
        <f t="shared" si="11"/>
        <v>-100</v>
      </c>
      <c r="M169" s="91">
        <f t="shared" si="17"/>
        <v>0</v>
      </c>
      <c r="N169" s="106"/>
      <c r="O169" s="163"/>
      <c r="P169" s="5"/>
    </row>
    <row r="170" spans="1:16" ht="12.75">
      <c r="A170" s="1"/>
      <c r="B170" s="40" t="s">
        <v>169</v>
      </c>
      <c r="C170" s="44" t="s">
        <v>14</v>
      </c>
      <c r="D170" s="98">
        <f>D169/12/(D171+1E-100)*1000</f>
        <v>0</v>
      </c>
      <c r="E170" s="99">
        <f>E169/12/(E171+1E-100)*1000</f>
        <v>0</v>
      </c>
      <c r="F170" s="98">
        <f>F169/12/(F171+1E-100)*1000</f>
        <v>0</v>
      </c>
      <c r="G170" s="99">
        <f>G169/3/(G171+1E-100)*1000</f>
        <v>0</v>
      </c>
      <c r="H170" s="99">
        <f>H169/12/(H171+1E-100)*1000</f>
        <v>0</v>
      </c>
      <c r="I170" s="99">
        <f>I169/12/(I171+1E-100)*1000</f>
        <v>0</v>
      </c>
      <c r="J170" s="90">
        <f t="shared" si="20"/>
        <v>-100</v>
      </c>
      <c r="K170" s="98">
        <f>K169/12/(K171+1E-100)*1000</f>
        <v>0</v>
      </c>
      <c r="L170" s="90"/>
      <c r="M170" s="91"/>
      <c r="N170" s="106"/>
      <c r="O170" s="163"/>
      <c r="P170" s="5"/>
    </row>
    <row r="171" spans="1:16" ht="12.75">
      <c r="A171" s="1"/>
      <c r="B171" s="40" t="s">
        <v>35</v>
      </c>
      <c r="C171" s="44" t="s">
        <v>42</v>
      </c>
      <c r="D171" s="98">
        <v>0</v>
      </c>
      <c r="E171" s="91"/>
      <c r="F171" s="98"/>
      <c r="G171" s="99"/>
      <c r="H171" s="99"/>
      <c r="I171" s="99"/>
      <c r="J171" s="90"/>
      <c r="K171" s="98"/>
      <c r="L171" s="90"/>
      <c r="M171" s="91"/>
      <c r="N171" s="106"/>
      <c r="O171" s="163"/>
      <c r="P171" s="5"/>
    </row>
    <row r="172" spans="1:16" ht="26.25">
      <c r="A172" s="1" t="s">
        <v>62</v>
      </c>
      <c r="B172" s="40" t="s">
        <v>194</v>
      </c>
      <c r="C172" s="31" t="s">
        <v>8</v>
      </c>
      <c r="D172" s="98">
        <v>0</v>
      </c>
      <c r="E172" s="91"/>
      <c r="F172" s="98"/>
      <c r="G172" s="99"/>
      <c r="H172" s="99"/>
      <c r="I172" s="99"/>
      <c r="J172" s="90">
        <f t="shared" si="20"/>
        <v>-100</v>
      </c>
      <c r="K172" s="98"/>
      <c r="L172" s="90">
        <f t="shared" si="11"/>
        <v>-100</v>
      </c>
      <c r="M172" s="91">
        <f t="shared" si="17"/>
        <v>0</v>
      </c>
      <c r="N172" s="106"/>
      <c r="O172" s="163"/>
      <c r="P172" s="5"/>
    </row>
    <row r="173" spans="1:16" ht="12.75">
      <c r="A173" s="1" t="s">
        <v>62</v>
      </c>
      <c r="B173" s="40" t="s">
        <v>68</v>
      </c>
      <c r="C173" s="31" t="s">
        <v>8</v>
      </c>
      <c r="D173" s="98">
        <v>0</v>
      </c>
      <c r="E173" s="91">
        <v>0</v>
      </c>
      <c r="F173" s="98">
        <v>0</v>
      </c>
      <c r="G173" s="99"/>
      <c r="H173" s="99"/>
      <c r="I173" s="99">
        <v>4.96</v>
      </c>
      <c r="J173" s="90">
        <f t="shared" si="20"/>
        <v>4.96E+135</v>
      </c>
      <c r="K173" s="98">
        <v>4.96</v>
      </c>
      <c r="L173" s="90">
        <f t="shared" si="11"/>
        <v>4.96E+108</v>
      </c>
      <c r="M173" s="91">
        <f t="shared" si="17"/>
        <v>0</v>
      </c>
      <c r="N173" s="106"/>
      <c r="O173" s="163"/>
      <c r="P173" s="5"/>
    </row>
    <row r="174" spans="1:16" ht="14.25" customHeight="1">
      <c r="A174" s="51">
        <v>20</v>
      </c>
      <c r="B174" s="40" t="s">
        <v>66</v>
      </c>
      <c r="C174" s="31" t="s">
        <v>8</v>
      </c>
      <c r="D174" s="105">
        <f>D175+D176+D177+D178</f>
        <v>11.1</v>
      </c>
      <c r="E174" s="92">
        <f aca="true" t="shared" si="22" ref="E174:K174">E175+E176+E177+E178</f>
        <v>48.1</v>
      </c>
      <c r="F174" s="105">
        <f>F175+F176+F177+F178</f>
        <v>545.03</v>
      </c>
      <c r="G174" s="92">
        <f t="shared" si="22"/>
        <v>7.5</v>
      </c>
      <c r="H174" s="92">
        <f t="shared" si="22"/>
        <v>36.1</v>
      </c>
      <c r="I174" s="92">
        <f t="shared" si="22"/>
        <v>576.5</v>
      </c>
      <c r="J174" s="90">
        <f t="shared" si="12"/>
        <v>5.8</v>
      </c>
      <c r="K174" s="105">
        <f t="shared" si="22"/>
        <v>576.5</v>
      </c>
      <c r="L174" s="90">
        <f t="shared" si="11"/>
        <v>5.8</v>
      </c>
      <c r="M174" s="91">
        <f t="shared" si="17"/>
        <v>0</v>
      </c>
      <c r="N174" s="106">
        <f>K174/($K$198+1E-103)*100</f>
        <v>5.4</v>
      </c>
      <c r="O174" s="160"/>
      <c r="P174" s="12"/>
    </row>
    <row r="175" spans="1:16" ht="12.75">
      <c r="A175" s="1" t="s">
        <v>62</v>
      </c>
      <c r="B175" s="40" t="s">
        <v>55</v>
      </c>
      <c r="C175" s="31" t="s">
        <v>8</v>
      </c>
      <c r="D175" s="98"/>
      <c r="E175" s="91"/>
      <c r="F175" s="98"/>
      <c r="G175" s="99"/>
      <c r="H175" s="99"/>
      <c r="I175" s="99">
        <v>4.5</v>
      </c>
      <c r="J175" s="90">
        <f t="shared" si="12"/>
        <v>4.5E+135</v>
      </c>
      <c r="K175" s="98">
        <v>4.5</v>
      </c>
      <c r="L175" s="90">
        <f t="shared" si="11"/>
        <v>4.5E+108</v>
      </c>
      <c r="M175" s="91">
        <f t="shared" si="17"/>
        <v>0</v>
      </c>
      <c r="N175" s="106"/>
      <c r="O175" s="160"/>
      <c r="P175" s="12"/>
    </row>
    <row r="176" spans="1:16" ht="12.75">
      <c r="A176" s="1" t="s">
        <v>62</v>
      </c>
      <c r="B176" s="40" t="s">
        <v>56</v>
      </c>
      <c r="C176" s="31" t="s">
        <v>8</v>
      </c>
      <c r="D176" s="98"/>
      <c r="E176" s="91"/>
      <c r="F176" s="98"/>
      <c r="G176" s="99"/>
      <c r="H176" s="99">
        <v>6.9</v>
      </c>
      <c r="I176" s="99">
        <v>9</v>
      </c>
      <c r="J176" s="90">
        <f t="shared" si="12"/>
        <v>9E+135</v>
      </c>
      <c r="K176" s="98">
        <v>9</v>
      </c>
      <c r="L176" s="90">
        <f t="shared" si="11"/>
        <v>9E+108</v>
      </c>
      <c r="M176" s="91">
        <f t="shared" si="17"/>
        <v>0</v>
      </c>
      <c r="N176" s="106"/>
      <c r="O176" s="161"/>
      <c r="P176" s="12"/>
    </row>
    <row r="177" spans="1:16" ht="12.75">
      <c r="A177" s="1" t="s">
        <v>62</v>
      </c>
      <c r="B177" s="40" t="s">
        <v>67</v>
      </c>
      <c r="C177" s="31" t="s">
        <v>8</v>
      </c>
      <c r="D177" s="98"/>
      <c r="E177" s="91">
        <v>19.9</v>
      </c>
      <c r="F177" s="98"/>
      <c r="G177" s="99">
        <v>0.3</v>
      </c>
      <c r="H177" s="99">
        <v>1.2</v>
      </c>
      <c r="I177" s="99">
        <v>17.97</v>
      </c>
      <c r="J177" s="90">
        <f t="shared" si="12"/>
        <v>1.797E+136</v>
      </c>
      <c r="K177" s="98">
        <v>17.97</v>
      </c>
      <c r="L177" s="90">
        <f t="shared" si="11"/>
        <v>1.797E+109</v>
      </c>
      <c r="M177" s="91">
        <f t="shared" si="17"/>
        <v>0</v>
      </c>
      <c r="N177" s="106"/>
      <c r="O177" s="161"/>
      <c r="P177" s="12"/>
    </row>
    <row r="178" spans="1:16" ht="12.75">
      <c r="A178" s="1" t="s">
        <v>62</v>
      </c>
      <c r="B178" s="40" t="s">
        <v>68</v>
      </c>
      <c r="C178" s="31" t="s">
        <v>8</v>
      </c>
      <c r="D178" s="98">
        <v>11.1</v>
      </c>
      <c r="E178" s="91">
        <v>28.2</v>
      </c>
      <c r="F178" s="98">
        <v>545.03</v>
      </c>
      <c r="G178" s="99">
        <v>7.2</v>
      </c>
      <c r="H178" s="99">
        <v>28</v>
      </c>
      <c r="I178" s="99">
        <v>545.03</v>
      </c>
      <c r="J178" s="90">
        <f t="shared" si="12"/>
        <v>0</v>
      </c>
      <c r="K178" s="98">
        <v>545.03</v>
      </c>
      <c r="L178" s="90">
        <f t="shared" si="11"/>
        <v>0</v>
      </c>
      <c r="M178" s="91">
        <f t="shared" si="17"/>
        <v>0</v>
      </c>
      <c r="N178" s="106"/>
      <c r="O178" s="161"/>
      <c r="P178" s="12"/>
    </row>
    <row r="179" spans="1:16" ht="12.75">
      <c r="A179" s="51">
        <v>21</v>
      </c>
      <c r="B179" s="40" t="s">
        <v>52</v>
      </c>
      <c r="C179" s="31" t="s">
        <v>8</v>
      </c>
      <c r="D179" s="105">
        <f>D180+D181+D182</f>
        <v>0</v>
      </c>
      <c r="E179" s="92">
        <f aca="true" t="shared" si="23" ref="E179:K179">E180+E181+E182</f>
        <v>0</v>
      </c>
      <c r="F179" s="105">
        <f>F180+F181+F182</f>
        <v>0</v>
      </c>
      <c r="G179" s="92">
        <f t="shared" si="23"/>
        <v>0</v>
      </c>
      <c r="H179" s="92">
        <f t="shared" si="23"/>
        <v>0</v>
      </c>
      <c r="I179" s="92">
        <f t="shared" si="23"/>
        <v>0</v>
      </c>
      <c r="J179" s="90">
        <f t="shared" si="12"/>
        <v>-100</v>
      </c>
      <c r="K179" s="105">
        <f t="shared" si="23"/>
        <v>0</v>
      </c>
      <c r="L179" s="90">
        <f t="shared" si="11"/>
        <v>-100</v>
      </c>
      <c r="M179" s="91">
        <f t="shared" si="17"/>
        <v>0</v>
      </c>
      <c r="N179" s="106">
        <f>K179/($K$198+1E-103)*100</f>
        <v>0</v>
      </c>
      <c r="O179" s="160"/>
      <c r="P179" s="12"/>
    </row>
    <row r="180" spans="1:16" ht="12.75">
      <c r="A180" s="1" t="s">
        <v>62</v>
      </c>
      <c r="B180" s="40" t="s">
        <v>53</v>
      </c>
      <c r="C180" s="31" t="s">
        <v>8</v>
      </c>
      <c r="D180" s="98"/>
      <c r="E180" s="91"/>
      <c r="F180" s="98"/>
      <c r="G180" s="99"/>
      <c r="H180" s="99"/>
      <c r="I180" s="99"/>
      <c r="J180" s="90">
        <f t="shared" si="12"/>
        <v>-100</v>
      </c>
      <c r="K180" s="98"/>
      <c r="L180" s="90">
        <f t="shared" si="11"/>
        <v>-100</v>
      </c>
      <c r="M180" s="91">
        <f t="shared" si="17"/>
        <v>0</v>
      </c>
      <c r="N180" s="106"/>
      <c r="O180" s="160"/>
      <c r="P180" s="12"/>
    </row>
    <row r="181" spans="1:16" ht="12.75">
      <c r="A181" s="1" t="s">
        <v>62</v>
      </c>
      <c r="B181" s="40" t="s">
        <v>54</v>
      </c>
      <c r="C181" s="31" t="s">
        <v>8</v>
      </c>
      <c r="D181" s="98"/>
      <c r="E181" s="91"/>
      <c r="F181" s="98"/>
      <c r="G181" s="99"/>
      <c r="H181" s="99"/>
      <c r="I181" s="99"/>
      <c r="J181" s="90">
        <f t="shared" si="12"/>
        <v>-100</v>
      </c>
      <c r="K181" s="98"/>
      <c r="L181" s="90">
        <f t="shared" si="11"/>
        <v>-100</v>
      </c>
      <c r="M181" s="91">
        <f t="shared" si="17"/>
        <v>0</v>
      </c>
      <c r="N181" s="106"/>
      <c r="O181" s="160"/>
      <c r="P181" s="12"/>
    </row>
    <row r="182" spans="1:16" ht="12.75">
      <c r="A182" s="1" t="s">
        <v>62</v>
      </c>
      <c r="B182" s="40" t="s">
        <v>69</v>
      </c>
      <c r="C182" s="31" t="s">
        <v>8</v>
      </c>
      <c r="D182" s="98"/>
      <c r="E182" s="91"/>
      <c r="F182" s="98">
        <v>0</v>
      </c>
      <c r="G182" s="99"/>
      <c r="H182" s="99"/>
      <c r="I182" s="99"/>
      <c r="J182" s="90">
        <f t="shared" si="12"/>
        <v>-100</v>
      </c>
      <c r="K182" s="98"/>
      <c r="L182" s="90">
        <f t="shared" si="11"/>
        <v>-100</v>
      </c>
      <c r="M182" s="91">
        <f t="shared" si="17"/>
        <v>0</v>
      </c>
      <c r="N182" s="106"/>
      <c r="O182" s="160"/>
      <c r="P182" s="12"/>
    </row>
    <row r="183" spans="1:16" ht="26.25">
      <c r="A183" s="51">
        <v>22</v>
      </c>
      <c r="B183" s="40" t="s">
        <v>51</v>
      </c>
      <c r="C183" s="31" t="s">
        <v>8</v>
      </c>
      <c r="D183" s="98">
        <v>0</v>
      </c>
      <c r="E183" s="91">
        <v>0</v>
      </c>
      <c r="F183" s="98">
        <v>0</v>
      </c>
      <c r="G183" s="99">
        <v>0</v>
      </c>
      <c r="H183" s="99">
        <v>0</v>
      </c>
      <c r="I183" s="99">
        <v>0</v>
      </c>
      <c r="J183" s="90">
        <f t="shared" si="12"/>
        <v>-100</v>
      </c>
      <c r="K183" s="98"/>
      <c r="L183" s="90">
        <f t="shared" si="11"/>
        <v>-100</v>
      </c>
      <c r="M183" s="91">
        <f>K183-I183</f>
        <v>0</v>
      </c>
      <c r="N183" s="106">
        <f>K183/($K$198+1E-103)*100</f>
        <v>0</v>
      </c>
      <c r="O183" s="160"/>
      <c r="P183" s="12"/>
    </row>
    <row r="184" spans="1:16" ht="25.5" customHeight="1">
      <c r="A184" s="51">
        <v>23</v>
      </c>
      <c r="B184" s="39" t="s">
        <v>110</v>
      </c>
      <c r="C184" s="52" t="s">
        <v>8</v>
      </c>
      <c r="D184" s="113">
        <f aca="true" t="shared" si="24" ref="D184:I184">D132+D140+D151+D152+D153+D156+D157+D158+D162+D168+D174+D179+D183</f>
        <v>5737.46</v>
      </c>
      <c r="E184" s="86">
        <f t="shared" si="24"/>
        <v>5985.24</v>
      </c>
      <c r="F184" s="113">
        <f t="shared" si="24"/>
        <v>8203.19</v>
      </c>
      <c r="G184" s="86">
        <f t="shared" si="24"/>
        <v>3463.1</v>
      </c>
      <c r="H184" s="86">
        <f t="shared" si="24"/>
        <v>8767</v>
      </c>
      <c r="I184" s="86">
        <f t="shared" si="24"/>
        <v>9602.74</v>
      </c>
      <c r="J184" s="88">
        <f t="shared" si="12"/>
        <v>17.1</v>
      </c>
      <c r="K184" s="113">
        <f>K132+K140+K151+K152+K153+K156+K157+K158+K162+K168+K174+K179+K183</f>
        <v>9602.74</v>
      </c>
      <c r="L184" s="88">
        <f t="shared" si="11"/>
        <v>17.1</v>
      </c>
      <c r="M184" s="89">
        <f>K184-I184</f>
        <v>0</v>
      </c>
      <c r="N184" s="87"/>
      <c r="O184" s="160"/>
      <c r="P184" s="13"/>
    </row>
    <row r="185" spans="1:16" ht="18.75" customHeight="1">
      <c r="A185" s="54">
        <v>24</v>
      </c>
      <c r="B185" s="50" t="s">
        <v>17</v>
      </c>
      <c r="C185" s="55" t="s">
        <v>18</v>
      </c>
      <c r="D185" s="114">
        <f aca="true" t="shared" si="25" ref="D185:I185">D184/(D24+1E-100)*1000</f>
        <v>560.68</v>
      </c>
      <c r="E185" s="114">
        <f t="shared" si="25"/>
        <v>533.15</v>
      </c>
      <c r="F185" s="115">
        <f t="shared" si="25"/>
        <v>730.08</v>
      </c>
      <c r="G185" s="115">
        <f t="shared" si="25"/>
        <v>683.69</v>
      </c>
      <c r="H185" s="115">
        <f t="shared" si="25"/>
        <v>780.95</v>
      </c>
      <c r="I185" s="115">
        <f t="shared" si="25"/>
        <v>812.14</v>
      </c>
      <c r="J185" s="116">
        <f t="shared" si="12"/>
        <v>11.2</v>
      </c>
      <c r="K185" s="115">
        <f>K184/(K24+1E-100)*1000</f>
        <v>812.14</v>
      </c>
      <c r="L185" s="116">
        <f t="shared" si="11"/>
        <v>11.2</v>
      </c>
      <c r="M185" s="117">
        <f>K185-I185</f>
        <v>0</v>
      </c>
      <c r="N185" s="118"/>
      <c r="O185" s="160"/>
      <c r="P185" s="12"/>
    </row>
    <row r="186" spans="1:16" ht="12.75" customHeight="1">
      <c r="A186" s="1"/>
      <c r="B186" s="40" t="s">
        <v>19</v>
      </c>
      <c r="C186" s="44" t="s">
        <v>5</v>
      </c>
      <c r="D186" s="120">
        <f aca="true" t="shared" si="26" ref="D186:I186">D187/(D184+1E-95)*100</f>
        <v>2.9</v>
      </c>
      <c r="E186" s="119">
        <f t="shared" si="26"/>
        <v>49.1</v>
      </c>
      <c r="F186" s="120">
        <f t="shared" si="26"/>
        <v>2.9</v>
      </c>
      <c r="G186" s="121">
        <f t="shared" si="26"/>
        <v>45.6</v>
      </c>
      <c r="H186" s="121">
        <f t="shared" si="26"/>
        <v>25.5</v>
      </c>
      <c r="I186" s="121">
        <f t="shared" si="26"/>
        <v>9.9</v>
      </c>
      <c r="J186" s="90">
        <f t="shared" si="12"/>
        <v>241.4</v>
      </c>
      <c r="K186" s="120">
        <f>K187/(K184+1E-95)*100</f>
        <v>9.9</v>
      </c>
      <c r="L186" s="90">
        <f t="shared" si="11"/>
        <v>241.4</v>
      </c>
      <c r="M186" s="91"/>
      <c r="N186" s="106"/>
      <c r="O186" s="160"/>
      <c r="P186" s="12"/>
    </row>
    <row r="187" spans="1:16" ht="12.75" customHeight="1">
      <c r="A187" s="51">
        <v>25</v>
      </c>
      <c r="B187" s="40" t="s">
        <v>57</v>
      </c>
      <c r="C187" s="44" t="s">
        <v>63</v>
      </c>
      <c r="D187" s="85">
        <f>D188+D189+D190+D191+D193</f>
        <v>165.5</v>
      </c>
      <c r="E187" s="83">
        <f>IF((E184+E196+E197+E188)&gt;(C206*D206+C211*D211+C214*D214+C215*D215+C216*D216)/1000+E201,0,(C206*D206+C211*D211+C214*D214+C215*D215+C216*D216)/1000+E201-E184-E196-E197)</f>
        <v>2941.71</v>
      </c>
      <c r="F187" s="85">
        <f>F188+F189+F190+F191+F193</f>
        <v>237</v>
      </c>
      <c r="G187" s="83">
        <f>IF((G184+G196+G197+G188)&gt;(I206*F206+I211*F211+I214*F214+I215*F215+I216*F216)/1000+G201,0,(I206*F206+I211*F211+I214*F214+I215*F215+I216*F216)/1000+G201-G184-G196-G197)</f>
        <v>1579.13</v>
      </c>
      <c r="H187" s="83">
        <f>IF((H184+H196+H197+H188)&gt;(I206*G206+I211*G211+I214*G214+I215*G215+I216*G216)/1000+H201,0,(I206*G206+I211*G211+I214*G214+I215*G215+I216*G216)/1000+H201-H184-H196-H197)</f>
        <v>2233.92</v>
      </c>
      <c r="I187" s="84">
        <f>I188+I189+I190+I191+I193</f>
        <v>951.55</v>
      </c>
      <c r="J187" s="90">
        <f t="shared" si="12"/>
        <v>301.5</v>
      </c>
      <c r="K187" s="85">
        <f>K188+K189+K190+K191+K193</f>
        <v>951.55</v>
      </c>
      <c r="L187" s="90">
        <f t="shared" si="11"/>
        <v>301.5</v>
      </c>
      <c r="M187" s="91">
        <f>K187-I187</f>
        <v>0</v>
      </c>
      <c r="N187" s="106">
        <f>K187/($K$198+1E-103)*100</f>
        <v>9</v>
      </c>
      <c r="O187" s="160"/>
      <c r="P187" s="12"/>
    </row>
    <row r="188" spans="1:16" ht="38.25" customHeight="1">
      <c r="A188" s="14" t="s">
        <v>62</v>
      </c>
      <c r="B188" s="477" t="s">
        <v>137</v>
      </c>
      <c r="C188" s="477"/>
      <c r="D188" s="127"/>
      <c r="E188" s="77"/>
      <c r="F188" s="98"/>
      <c r="G188" s="99"/>
      <c r="H188" s="99"/>
      <c r="I188" s="99"/>
      <c r="J188" s="90">
        <f t="shared" si="12"/>
        <v>-100</v>
      </c>
      <c r="K188" s="98"/>
      <c r="L188" s="90">
        <f t="shared" si="11"/>
        <v>-100</v>
      </c>
      <c r="M188" s="91">
        <f aca="true" t="shared" si="27" ref="M188:M197">K188-I188</f>
        <v>0</v>
      </c>
      <c r="N188" s="106"/>
      <c r="O188" s="160"/>
      <c r="P188" s="12"/>
    </row>
    <row r="189" spans="1:16" ht="12.75">
      <c r="A189" s="14" t="s">
        <v>62</v>
      </c>
      <c r="B189" s="460" t="s">
        <v>58</v>
      </c>
      <c r="C189" s="460"/>
      <c r="D189" s="128"/>
      <c r="E189" s="77"/>
      <c r="F189" s="98"/>
      <c r="G189" s="99"/>
      <c r="H189" s="99"/>
      <c r="I189" s="99"/>
      <c r="J189" s="90">
        <f t="shared" si="12"/>
        <v>-100</v>
      </c>
      <c r="K189" s="98"/>
      <c r="L189" s="90">
        <f t="shared" si="11"/>
        <v>-100</v>
      </c>
      <c r="M189" s="91">
        <f t="shared" si="27"/>
        <v>0</v>
      </c>
      <c r="N189" s="106"/>
      <c r="O189" s="160"/>
      <c r="P189" s="12"/>
    </row>
    <row r="190" spans="1:16" ht="12.75">
      <c r="A190" s="14" t="s">
        <v>62</v>
      </c>
      <c r="B190" s="460" t="s">
        <v>59</v>
      </c>
      <c r="C190" s="460"/>
      <c r="D190" s="128"/>
      <c r="E190" s="77"/>
      <c r="F190" s="98"/>
      <c r="G190" s="99"/>
      <c r="H190" s="99"/>
      <c r="I190" s="99"/>
      <c r="J190" s="90">
        <f t="shared" si="12"/>
        <v>-100</v>
      </c>
      <c r="K190" s="98"/>
      <c r="L190" s="90">
        <f t="shared" si="11"/>
        <v>-100</v>
      </c>
      <c r="M190" s="91">
        <f t="shared" si="27"/>
        <v>0</v>
      </c>
      <c r="N190" s="106"/>
      <c r="O190" s="160"/>
      <c r="P190" s="12"/>
    </row>
    <row r="191" spans="1:16" ht="12.75">
      <c r="A191" s="14" t="s">
        <v>62</v>
      </c>
      <c r="B191" s="460" t="s">
        <v>139</v>
      </c>
      <c r="C191" s="460"/>
      <c r="D191" s="128">
        <v>165.5</v>
      </c>
      <c r="E191" s="84">
        <f>IF(E187=0,0,E187-E188-E189-E190-E193)</f>
        <v>2941.71</v>
      </c>
      <c r="F191" s="98">
        <v>237</v>
      </c>
      <c r="G191" s="84">
        <f>IF(G187=0,0,G187-G188-G189-G190-G193)</f>
        <v>1579.13</v>
      </c>
      <c r="H191" s="84">
        <f>IF(H187=0,0,H187-H188-H189-H190-H193)</f>
        <v>2233.92</v>
      </c>
      <c r="I191" s="99">
        <f>K191</f>
        <v>951.55</v>
      </c>
      <c r="J191" s="90">
        <f t="shared" si="12"/>
        <v>301.5</v>
      </c>
      <c r="K191" s="98">
        <v>951.55</v>
      </c>
      <c r="L191" s="90">
        <f t="shared" si="11"/>
        <v>301.5</v>
      </c>
      <c r="M191" s="91">
        <f t="shared" si="27"/>
        <v>0</v>
      </c>
      <c r="N191" s="106"/>
      <c r="O191" s="160"/>
      <c r="P191" s="12"/>
    </row>
    <row r="192" spans="1:16" ht="12.75">
      <c r="A192" s="14"/>
      <c r="B192" s="470" t="s">
        <v>138</v>
      </c>
      <c r="C192" s="470"/>
      <c r="D192" s="129"/>
      <c r="E192" s="84"/>
      <c r="F192" s="98"/>
      <c r="G192" s="84"/>
      <c r="H192" s="84"/>
      <c r="I192" s="188"/>
      <c r="J192" s="90"/>
      <c r="K192" s="98"/>
      <c r="L192" s="90"/>
      <c r="M192" s="91"/>
      <c r="N192" s="106"/>
      <c r="O192" s="160"/>
      <c r="P192" s="12"/>
    </row>
    <row r="193" spans="1:16" ht="12.75">
      <c r="A193" s="1" t="s">
        <v>62</v>
      </c>
      <c r="B193" s="45" t="s">
        <v>61</v>
      </c>
      <c r="C193" s="44"/>
      <c r="D193" s="130"/>
      <c r="E193" s="77"/>
      <c r="F193" s="98"/>
      <c r="G193" s="99"/>
      <c r="H193" s="99"/>
      <c r="I193" s="99"/>
      <c r="J193" s="90">
        <f t="shared" si="12"/>
        <v>-100</v>
      </c>
      <c r="K193" s="98"/>
      <c r="L193" s="90">
        <f t="shared" si="11"/>
        <v>-100</v>
      </c>
      <c r="M193" s="91">
        <f t="shared" si="27"/>
        <v>0</v>
      </c>
      <c r="N193" s="106"/>
      <c r="O193" s="160"/>
      <c r="P193" s="12"/>
    </row>
    <row r="194" spans="1:16" ht="12.75">
      <c r="A194" s="1"/>
      <c r="B194" s="47" t="s">
        <v>60</v>
      </c>
      <c r="C194" s="46"/>
      <c r="D194" s="130"/>
      <c r="E194" s="77"/>
      <c r="F194" s="98"/>
      <c r="G194" s="99"/>
      <c r="H194" s="99"/>
      <c r="I194" s="99">
        <v>50</v>
      </c>
      <c r="J194" s="90">
        <f t="shared" si="12"/>
        <v>5E+136</v>
      </c>
      <c r="K194" s="98">
        <v>50</v>
      </c>
      <c r="L194" s="90">
        <f t="shared" si="11"/>
        <v>5E+109</v>
      </c>
      <c r="M194" s="91">
        <f t="shared" si="27"/>
        <v>0</v>
      </c>
      <c r="N194" s="106"/>
      <c r="O194" s="160"/>
      <c r="P194" s="12"/>
    </row>
    <row r="195" spans="1:16" ht="13.5">
      <c r="A195" s="1"/>
      <c r="B195" s="70" t="s">
        <v>135</v>
      </c>
      <c r="C195" s="44" t="s">
        <v>63</v>
      </c>
      <c r="D195" s="130"/>
      <c r="E195" s="76">
        <f>IF((E184+E196+E197+E188)&gt;(C206*D206+C211*D211+C214*D214+C215*D215+C216*D216)/1000+E201,(C206*D206+C211*D211+C214*D214+C215*D215+C216*D216)/1000+E201-E184-E196-E197-E188,0)</f>
        <v>0</v>
      </c>
      <c r="F195" s="98"/>
      <c r="G195" s="76">
        <f>IF((G184+G196+G197+G188)&gt;(I206*F206+I211*F211+I214*F214+I215*F215+I216*F216)/1000+G201,(F206*I206+F211*I211+F214*I214+F215*I215+F216*I216)/1000+G201-G184-G196-G197-G188,0)</f>
        <v>0</v>
      </c>
      <c r="H195" s="76">
        <f>IF((H184+H196+H197+H188)&gt;(I206*G206+I211*G211+I214*G214+I215*G215+I216*G216)/1000+H201,(G206*I206+G211*I211+G214*I214+G215*I215+G216*I216)/1000+H201-H184-H196-H197-H188,0)</f>
        <v>0</v>
      </c>
      <c r="I195" s="99"/>
      <c r="J195" s="90">
        <f t="shared" si="12"/>
        <v>-100</v>
      </c>
      <c r="K195" s="98"/>
      <c r="L195" s="90">
        <f t="shared" si="11"/>
        <v>-100</v>
      </c>
      <c r="M195" s="91">
        <f t="shared" si="27"/>
        <v>0</v>
      </c>
      <c r="N195" s="106"/>
      <c r="O195" s="160"/>
      <c r="P195" s="12"/>
    </row>
    <row r="196" spans="1:16" ht="15">
      <c r="A196" s="51">
        <v>26</v>
      </c>
      <c r="B196" s="40" t="s">
        <v>36</v>
      </c>
      <c r="C196" s="44" t="s">
        <v>63</v>
      </c>
      <c r="D196" s="127"/>
      <c r="E196" s="77"/>
      <c r="F196" s="98"/>
      <c r="G196" s="99"/>
      <c r="H196" s="99"/>
      <c r="I196" s="99">
        <v>67.8</v>
      </c>
      <c r="J196" s="90">
        <f t="shared" si="12"/>
        <v>6.78E+136</v>
      </c>
      <c r="K196" s="98">
        <v>67.8</v>
      </c>
      <c r="L196" s="90">
        <f t="shared" si="11"/>
        <v>6.78E+109</v>
      </c>
      <c r="M196" s="91">
        <f t="shared" si="27"/>
        <v>0</v>
      </c>
      <c r="N196" s="106">
        <f>K196/($K$198+1E-103)*100</f>
        <v>0.6</v>
      </c>
      <c r="O196" s="166" t="s">
        <v>133</v>
      </c>
      <c r="P196" s="12"/>
    </row>
    <row r="197" spans="1:16" ht="15">
      <c r="A197" s="51">
        <v>27</v>
      </c>
      <c r="B197" s="40" t="s">
        <v>37</v>
      </c>
      <c r="C197" s="44" t="s">
        <v>63</v>
      </c>
      <c r="D197" s="127"/>
      <c r="E197" s="77"/>
      <c r="F197" s="98"/>
      <c r="G197" s="99"/>
      <c r="H197" s="99"/>
      <c r="I197" s="99"/>
      <c r="J197" s="90">
        <f t="shared" si="12"/>
        <v>-100</v>
      </c>
      <c r="K197" s="98"/>
      <c r="L197" s="90">
        <f t="shared" si="11"/>
        <v>-100</v>
      </c>
      <c r="M197" s="91">
        <f t="shared" si="27"/>
        <v>0</v>
      </c>
      <c r="N197" s="106">
        <f>K197/($K$198+1E-103)*100</f>
        <v>0</v>
      </c>
      <c r="O197" s="167"/>
      <c r="P197" s="12"/>
    </row>
    <row r="198" spans="1:15" ht="39">
      <c r="A198" s="51">
        <v>28</v>
      </c>
      <c r="B198" s="39" t="s">
        <v>111</v>
      </c>
      <c r="C198" s="53" t="s">
        <v>63</v>
      </c>
      <c r="D198" s="123">
        <f>D184+D187+D196+D197</f>
        <v>5902.96</v>
      </c>
      <c r="E198" s="122">
        <f>IF(E187=0,E184+E188+E196+E197+E195,E184+E187+E196+E197+E195)</f>
        <v>8926.95</v>
      </c>
      <c r="F198" s="123">
        <f>F184+F187+F196+F197</f>
        <v>8440.19</v>
      </c>
      <c r="G198" s="122">
        <f>IF(G187=0,G184+G188+G196+G197+G195,G184+G187+G196+G197+G195)</f>
        <v>5042.23</v>
      </c>
      <c r="H198" s="122">
        <f>IF(H187=0,H184+H188+H196+H197+H195,H184+H187+H196+H197+H195)</f>
        <v>11000.92</v>
      </c>
      <c r="I198" s="122">
        <f>I184+I187+I196+I197</f>
        <v>10622.09</v>
      </c>
      <c r="J198" s="88">
        <f t="shared" si="12"/>
        <v>25.9</v>
      </c>
      <c r="K198" s="123">
        <f>K184+K187+K196+K197</f>
        <v>10622.09</v>
      </c>
      <c r="L198" s="88">
        <f t="shared" si="11"/>
        <v>25.9</v>
      </c>
      <c r="M198" s="89">
        <f>K198-I198</f>
        <v>0</v>
      </c>
      <c r="N198" s="87">
        <f>N132+N140+N151+N152+N153+N156+N157+N158+N162+N168+N174+N179+N183+N187+N196+N197</f>
        <v>99.9</v>
      </c>
      <c r="O198" s="165" t="s">
        <v>134</v>
      </c>
    </row>
    <row r="199" spans="1:15" ht="33.75" customHeight="1">
      <c r="A199" s="54">
        <v>29</v>
      </c>
      <c r="B199" s="50" t="s">
        <v>20</v>
      </c>
      <c r="C199" s="55" t="s">
        <v>18</v>
      </c>
      <c r="D199" s="114">
        <f aca="true" t="shared" si="28" ref="D199:I199">D198/(D24+1E-99)*1000</f>
        <v>576.86</v>
      </c>
      <c r="E199" s="114">
        <f t="shared" si="28"/>
        <v>795.2</v>
      </c>
      <c r="F199" s="115">
        <f t="shared" si="28"/>
        <v>751.17</v>
      </c>
      <c r="G199" s="115">
        <f t="shared" si="28"/>
        <v>995.45</v>
      </c>
      <c r="H199" s="115">
        <f t="shared" si="28"/>
        <v>979.94</v>
      </c>
      <c r="I199" s="115">
        <f t="shared" si="28"/>
        <v>898.35</v>
      </c>
      <c r="J199" s="116">
        <f t="shared" si="12"/>
        <v>19.6</v>
      </c>
      <c r="K199" s="64">
        <f>IF(K24=H217,K198/(K24+1E-101)*1000,"Ошибка")</f>
        <v>898.35</v>
      </c>
      <c r="L199" s="116">
        <f t="shared" si="11"/>
        <v>19.6</v>
      </c>
      <c r="M199" s="117">
        <f>K199-I199</f>
        <v>0</v>
      </c>
      <c r="N199" s="118"/>
      <c r="O199" s="164"/>
    </row>
    <row r="200" spans="1:15" ht="12" customHeight="1">
      <c r="A200" s="63"/>
      <c r="B200" s="473"/>
      <c r="C200" s="473"/>
      <c r="D200" s="473"/>
      <c r="E200" s="473"/>
      <c r="F200" s="473"/>
      <c r="G200" s="473"/>
      <c r="H200" s="473"/>
      <c r="I200" s="473"/>
      <c r="J200" s="473"/>
      <c r="K200" s="473"/>
      <c r="L200" s="473"/>
      <c r="M200" s="473"/>
      <c r="N200" s="473"/>
      <c r="O200" s="473"/>
    </row>
    <row r="201" spans="1:15" ht="39.75" customHeight="1">
      <c r="A201" s="456" t="s">
        <v>155</v>
      </c>
      <c r="B201" s="456"/>
      <c r="C201" s="53" t="s">
        <v>63</v>
      </c>
      <c r="D201" s="125"/>
      <c r="E201" s="141"/>
      <c r="F201" s="122">
        <f>IF((E206*I206+E211*I211+E214*I214+E215*I215+E216*I216)/1000=0,0,F198-(E206*I206+E211*I211+E214*I214+E215*I215+E216*I216)/1000)</f>
        <v>-2569.25</v>
      </c>
      <c r="G201" s="141"/>
      <c r="H201" s="141"/>
      <c r="I201" s="142" t="s">
        <v>143</v>
      </c>
      <c r="J201" s="143" t="s">
        <v>143</v>
      </c>
      <c r="K201" s="140">
        <f>IF(N217=0,0,K198-N217)</f>
        <v>0</v>
      </c>
      <c r="L201" s="143" t="s">
        <v>143</v>
      </c>
      <c r="M201" s="143" t="s">
        <v>143</v>
      </c>
      <c r="N201" s="143" t="s">
        <v>143</v>
      </c>
      <c r="O201" s="57"/>
    </row>
    <row r="202" spans="1:15" ht="24" customHeight="1">
      <c r="A202" s="469" t="s">
        <v>197</v>
      </c>
      <c r="B202" s="469"/>
      <c r="C202" s="469"/>
      <c r="D202" s="469"/>
      <c r="E202" s="469"/>
      <c r="F202" s="469"/>
      <c r="G202" s="469"/>
      <c r="H202" s="469"/>
      <c r="I202" s="469"/>
      <c r="J202" s="469"/>
      <c r="K202" s="469"/>
      <c r="L202" s="469"/>
      <c r="M202" s="469"/>
      <c r="N202" s="469"/>
      <c r="O202" s="469"/>
    </row>
    <row r="203" spans="1:15" ht="11.25" customHeight="1">
      <c r="A203" s="472"/>
      <c r="B203" s="471" t="s">
        <v>21</v>
      </c>
      <c r="C203" s="471" t="s">
        <v>170</v>
      </c>
      <c r="D203" s="471" t="s">
        <v>171</v>
      </c>
      <c r="E203" s="471" t="s">
        <v>172</v>
      </c>
      <c r="F203" s="486" t="s">
        <v>173</v>
      </c>
      <c r="G203" s="458" t="s">
        <v>174</v>
      </c>
      <c r="H203" s="459" t="s">
        <v>175</v>
      </c>
      <c r="I203" s="496" t="s">
        <v>176</v>
      </c>
      <c r="J203" s="496" t="s">
        <v>177</v>
      </c>
      <c r="K203" s="457" t="s">
        <v>106</v>
      </c>
      <c r="L203" s="457" t="s">
        <v>178</v>
      </c>
      <c r="M203" s="457" t="s">
        <v>106</v>
      </c>
      <c r="N203" s="457" t="s">
        <v>131</v>
      </c>
      <c r="O203" s="457"/>
    </row>
    <row r="204" spans="1:15" ht="62.25" customHeight="1">
      <c r="A204" s="472"/>
      <c r="B204" s="471"/>
      <c r="C204" s="471"/>
      <c r="D204" s="471"/>
      <c r="E204" s="471"/>
      <c r="F204" s="486"/>
      <c r="G204" s="458"/>
      <c r="H204" s="459"/>
      <c r="I204" s="496"/>
      <c r="J204" s="496"/>
      <c r="K204" s="457"/>
      <c r="L204" s="457"/>
      <c r="M204" s="457"/>
      <c r="N204" s="457"/>
      <c r="O204" s="457"/>
    </row>
    <row r="205" spans="1:15" ht="11.25" customHeight="1">
      <c r="A205" s="2">
        <v>1</v>
      </c>
      <c r="B205" s="69">
        <v>2</v>
      </c>
      <c r="C205" s="69">
        <v>3</v>
      </c>
      <c r="D205" s="69">
        <v>4</v>
      </c>
      <c r="E205" s="10">
        <v>5</v>
      </c>
      <c r="F205" s="10">
        <v>6</v>
      </c>
      <c r="G205" s="10">
        <v>7</v>
      </c>
      <c r="H205" s="10">
        <v>8</v>
      </c>
      <c r="I205" s="11">
        <v>9</v>
      </c>
      <c r="J205" s="10">
        <v>10</v>
      </c>
      <c r="K205" s="2">
        <v>11</v>
      </c>
      <c r="L205" s="2">
        <v>12</v>
      </c>
      <c r="M205" s="2">
        <v>13</v>
      </c>
      <c r="N205" s="452">
        <v>14</v>
      </c>
      <c r="O205" s="452"/>
    </row>
    <row r="206" spans="1:15" ht="26.25">
      <c r="A206" s="62">
        <v>1</v>
      </c>
      <c r="B206" s="71" t="s">
        <v>38</v>
      </c>
      <c r="C206" s="16">
        <v>8376.1</v>
      </c>
      <c r="D206" s="137">
        <v>874</v>
      </c>
      <c r="E206" s="16">
        <v>8376</v>
      </c>
      <c r="F206" s="71">
        <v>4272.9</v>
      </c>
      <c r="G206" s="16">
        <v>8376.1</v>
      </c>
      <c r="H206" s="38">
        <f>L236</f>
        <v>8880.1</v>
      </c>
      <c r="I206" s="136">
        <v>1019.79</v>
      </c>
      <c r="J206" s="137"/>
      <c r="K206" s="15">
        <f>J206/(I206+1E-101)*100-100</f>
        <v>-100</v>
      </c>
      <c r="L206" s="15"/>
      <c r="M206" s="15">
        <f>L206/(I206+1E-101)*100-100</f>
        <v>-100</v>
      </c>
      <c r="N206" s="462">
        <f>H206*J206/1000</f>
        <v>0</v>
      </c>
      <c r="O206" s="462"/>
    </row>
    <row r="207" spans="1:15" ht="12.75">
      <c r="A207" s="62"/>
      <c r="B207" s="73" t="s">
        <v>39</v>
      </c>
      <c r="C207" s="16">
        <v>270.1</v>
      </c>
      <c r="D207" s="137">
        <v>874</v>
      </c>
      <c r="E207" s="16">
        <v>270.1</v>
      </c>
      <c r="F207" s="71">
        <v>187.9</v>
      </c>
      <c r="G207" s="16">
        <v>270.1</v>
      </c>
      <c r="H207" s="38">
        <f>L237</f>
        <v>270.1</v>
      </c>
      <c r="I207" s="136">
        <v>1019.79</v>
      </c>
      <c r="J207" s="137"/>
      <c r="K207" s="15">
        <f>J207/(I207+1E-101)*100-100</f>
        <v>-100</v>
      </c>
      <c r="L207" s="15"/>
      <c r="M207" s="15">
        <f>L207/(I207+1E-101)*100-100</f>
        <v>-100</v>
      </c>
      <c r="N207" s="463"/>
      <c r="O207" s="464"/>
    </row>
    <row r="208" spans="1:15" ht="12.75">
      <c r="A208" s="62"/>
      <c r="B208" s="73" t="s">
        <v>103</v>
      </c>
      <c r="C208" s="16">
        <v>0</v>
      </c>
      <c r="D208" s="137">
        <v>874</v>
      </c>
      <c r="E208" s="16">
        <v>0</v>
      </c>
      <c r="F208" s="71">
        <v>0</v>
      </c>
      <c r="G208" s="16">
        <v>0</v>
      </c>
      <c r="H208" s="38">
        <f>L238</f>
        <v>0</v>
      </c>
      <c r="I208" s="136">
        <v>1019.79</v>
      </c>
      <c r="J208" s="137"/>
      <c r="K208" s="15">
        <f>J208/(I208+1E-101)*100-100</f>
        <v>-100</v>
      </c>
      <c r="L208" s="15"/>
      <c r="M208" s="15">
        <f>L208/(I208+1E-101)*100-100</f>
        <v>-100</v>
      </c>
      <c r="N208" s="463"/>
      <c r="O208" s="464"/>
    </row>
    <row r="209" spans="1:15" ht="12.75">
      <c r="A209" s="62"/>
      <c r="B209" s="71" t="s">
        <v>40</v>
      </c>
      <c r="C209" s="16">
        <v>8106</v>
      </c>
      <c r="D209" s="137">
        <v>874</v>
      </c>
      <c r="E209" s="16">
        <v>0.08</v>
      </c>
      <c r="F209" s="71">
        <v>4085</v>
      </c>
      <c r="G209" s="16">
        <v>8106</v>
      </c>
      <c r="H209" s="38">
        <f>L239</f>
        <v>8610</v>
      </c>
      <c r="I209" s="136">
        <v>1019.79</v>
      </c>
      <c r="J209" s="137"/>
      <c r="K209" s="15">
        <f>J209/(I209+1E-101)*100-100</f>
        <v>-100</v>
      </c>
      <c r="L209" s="15"/>
      <c r="M209" s="15">
        <f>L209/(I209+1E-101)*100-100</f>
        <v>-100</v>
      </c>
      <c r="N209" s="463"/>
      <c r="O209" s="464"/>
    </row>
    <row r="210" spans="1:15" ht="12.75">
      <c r="A210" s="62">
        <v>2</v>
      </c>
      <c r="B210" s="71" t="s">
        <v>189</v>
      </c>
      <c r="C210" s="16"/>
      <c r="D210" s="137">
        <v>0</v>
      </c>
      <c r="E210" s="16">
        <v>0</v>
      </c>
      <c r="F210" s="71">
        <v>0</v>
      </c>
      <c r="G210" s="16"/>
      <c r="H210" s="38"/>
      <c r="I210" s="136">
        <v>0</v>
      </c>
      <c r="J210" s="137"/>
      <c r="K210" s="15">
        <f>J210/(I210+1E-101)*100-100</f>
        <v>-100</v>
      </c>
      <c r="L210" s="15"/>
      <c r="M210" s="15">
        <f>L210/(I210+1E-101)*100-100</f>
        <v>-100</v>
      </c>
      <c r="N210" s="463"/>
      <c r="O210" s="464"/>
    </row>
    <row r="211" spans="1:15" ht="12.75">
      <c r="A211" s="62" t="s">
        <v>190</v>
      </c>
      <c r="B211" s="71" t="s">
        <v>185</v>
      </c>
      <c r="C211" s="16">
        <v>2826.8</v>
      </c>
      <c r="D211" s="137">
        <v>558.37</v>
      </c>
      <c r="E211" s="16">
        <v>2836.8</v>
      </c>
      <c r="F211" s="16">
        <v>779.2</v>
      </c>
      <c r="G211" s="16">
        <v>2826.8</v>
      </c>
      <c r="H211" s="38">
        <f>H212+H213</f>
        <v>2920.72</v>
      </c>
      <c r="I211" s="136">
        <v>861.54</v>
      </c>
      <c r="J211" s="137"/>
      <c r="K211" s="15">
        <f aca="true" t="shared" si="29" ref="K211:K217">J211/(I211+1E-101)*100-100</f>
        <v>-100</v>
      </c>
      <c r="L211" s="15"/>
      <c r="M211" s="15">
        <f aca="true" t="shared" si="30" ref="M211:M217">L211/(I211+1E-101)*100-100</f>
        <v>-100</v>
      </c>
      <c r="N211" s="462">
        <f>H211*J211/1000</f>
        <v>0</v>
      </c>
      <c r="O211" s="462"/>
    </row>
    <row r="212" spans="1:15" ht="26.25">
      <c r="A212" s="62"/>
      <c r="B212" s="71" t="s">
        <v>186</v>
      </c>
      <c r="C212" s="16">
        <v>2431.9</v>
      </c>
      <c r="D212" s="137">
        <v>558.37</v>
      </c>
      <c r="E212" s="16">
        <v>2431.9</v>
      </c>
      <c r="F212" s="16">
        <v>676.8</v>
      </c>
      <c r="G212" s="16">
        <v>2431.9</v>
      </c>
      <c r="H212" s="38">
        <f>L240</f>
        <v>2550.58</v>
      </c>
      <c r="I212" s="136">
        <v>861.54</v>
      </c>
      <c r="J212" s="137"/>
      <c r="K212" s="15">
        <f>J212/(I212+1E-101)*100-100</f>
        <v>-100</v>
      </c>
      <c r="L212" s="15"/>
      <c r="M212" s="15">
        <f t="shared" si="30"/>
        <v>-100</v>
      </c>
      <c r="N212" s="463"/>
      <c r="O212" s="464"/>
    </row>
    <row r="213" spans="1:15" ht="12.75">
      <c r="A213" s="62"/>
      <c r="B213" s="71" t="s">
        <v>187</v>
      </c>
      <c r="C213" s="16">
        <v>394.9</v>
      </c>
      <c r="D213" s="137">
        <v>558.37</v>
      </c>
      <c r="E213" s="16">
        <v>394.9</v>
      </c>
      <c r="F213" s="16">
        <v>102.4</v>
      </c>
      <c r="G213" s="16">
        <v>394.9</v>
      </c>
      <c r="H213" s="38">
        <f>L241</f>
        <v>370.14</v>
      </c>
      <c r="I213" s="136">
        <v>861.54</v>
      </c>
      <c r="J213" s="137"/>
      <c r="K213" s="15">
        <f>J213/(I213+1E-101)*100-100</f>
        <v>-100</v>
      </c>
      <c r="L213" s="15"/>
      <c r="M213" s="15">
        <f t="shared" si="30"/>
        <v>-100</v>
      </c>
      <c r="N213" s="463"/>
      <c r="O213" s="464"/>
    </row>
    <row r="214" spans="1:15" ht="24.75" customHeight="1">
      <c r="A214" s="72" t="s">
        <v>191</v>
      </c>
      <c r="B214" s="71" t="s">
        <v>184</v>
      </c>
      <c r="C214" s="16"/>
      <c r="D214" s="137">
        <v>0</v>
      </c>
      <c r="E214" s="16">
        <v>0</v>
      </c>
      <c r="F214" s="16"/>
      <c r="G214" s="16"/>
      <c r="H214" s="38">
        <f>L242</f>
        <v>0</v>
      </c>
      <c r="I214" s="136">
        <v>0</v>
      </c>
      <c r="J214" s="137"/>
      <c r="K214" s="15">
        <f t="shared" si="29"/>
        <v>-100</v>
      </c>
      <c r="L214" s="15"/>
      <c r="M214" s="15">
        <f t="shared" si="30"/>
        <v>-100</v>
      </c>
      <c r="N214" s="462">
        <f>H214*J214/1000</f>
        <v>0</v>
      </c>
      <c r="O214" s="462"/>
    </row>
    <row r="215" spans="1:15" ht="12.75" customHeight="1">
      <c r="A215" s="175" t="s">
        <v>192</v>
      </c>
      <c r="B215" s="71" t="s">
        <v>22</v>
      </c>
      <c r="C215" s="16">
        <v>23.2</v>
      </c>
      <c r="D215" s="137">
        <v>1199.78</v>
      </c>
      <c r="E215" s="16">
        <v>23.2</v>
      </c>
      <c r="F215" s="16">
        <v>13.2</v>
      </c>
      <c r="G215" s="16">
        <v>23.2</v>
      </c>
      <c r="H215" s="38">
        <f>L243</f>
        <v>23.2</v>
      </c>
      <c r="I215" s="136">
        <v>1019.79</v>
      </c>
      <c r="J215" s="137"/>
      <c r="K215" s="15">
        <f t="shared" si="29"/>
        <v>-100</v>
      </c>
      <c r="L215" s="15"/>
      <c r="M215" s="15">
        <f t="shared" si="30"/>
        <v>-100</v>
      </c>
      <c r="N215" s="462">
        <f>H215*J215/1000</f>
        <v>0</v>
      </c>
      <c r="O215" s="462"/>
    </row>
    <row r="216" spans="1:15" ht="26.25">
      <c r="A216" s="72">
        <v>3</v>
      </c>
      <c r="B216" s="71" t="s">
        <v>25</v>
      </c>
      <c r="C216" s="16">
        <v>0</v>
      </c>
      <c r="D216" s="137">
        <v>0</v>
      </c>
      <c r="E216" s="16">
        <v>0</v>
      </c>
      <c r="F216" s="16"/>
      <c r="G216" s="16">
        <v>0</v>
      </c>
      <c r="H216" s="68">
        <f>L244</f>
        <v>0</v>
      </c>
      <c r="I216" s="136">
        <v>0</v>
      </c>
      <c r="J216" s="137"/>
      <c r="K216" s="15">
        <f t="shared" si="29"/>
        <v>-100</v>
      </c>
      <c r="L216" s="15"/>
      <c r="M216" s="15">
        <f t="shared" si="30"/>
        <v>-100</v>
      </c>
      <c r="N216" s="462">
        <f>H216*J216/1000</f>
        <v>0</v>
      </c>
      <c r="O216" s="462"/>
    </row>
    <row r="217" spans="1:15" ht="12.75" customHeight="1">
      <c r="A217" s="1"/>
      <c r="B217" s="74" t="s">
        <v>41</v>
      </c>
      <c r="C217" s="38">
        <f>C206+C211+C214+C215+C216</f>
        <v>11226.1</v>
      </c>
      <c r="D217" s="138">
        <f>D199</f>
        <v>576.86</v>
      </c>
      <c r="E217" s="38">
        <f>E206+E211+E214+E215+E216</f>
        <v>11236</v>
      </c>
      <c r="F217" s="38">
        <f>F206+F211+F214+F215+F216</f>
        <v>5065.3</v>
      </c>
      <c r="G217" s="38">
        <f>G206+G211+G214+G215+G216</f>
        <v>11226.1</v>
      </c>
      <c r="H217" s="38">
        <f>H206+H211+H214+H215+H216</f>
        <v>11824.02</v>
      </c>
      <c r="I217" s="139">
        <f>F199</f>
        <v>751.17</v>
      </c>
      <c r="J217" s="138">
        <f>K199</f>
        <v>898.35</v>
      </c>
      <c r="K217" s="15">
        <f t="shared" si="29"/>
        <v>19.59</v>
      </c>
      <c r="L217" s="15"/>
      <c r="M217" s="15">
        <f t="shared" si="30"/>
        <v>-100</v>
      </c>
      <c r="N217" s="467">
        <f>N206+N211+N214+N215+N216</f>
        <v>0</v>
      </c>
      <c r="O217" s="467"/>
    </row>
    <row r="218" spans="1:15" ht="37.5" customHeight="1">
      <c r="A218" s="32"/>
      <c r="B218" s="33"/>
      <c r="C218" s="33"/>
      <c r="D218" s="34"/>
      <c r="E218" s="34"/>
      <c r="F218" s="34"/>
      <c r="G218" s="34"/>
      <c r="H218" s="35"/>
      <c r="I218" s="36"/>
      <c r="J218" s="36"/>
      <c r="K218" s="37"/>
      <c r="L218" s="36"/>
      <c r="M218" s="35"/>
      <c r="N218" s="37"/>
      <c r="O218" s="37"/>
    </row>
    <row r="219" spans="1:15" ht="15" customHeight="1">
      <c r="A219" s="17" t="s">
        <v>70</v>
      </c>
      <c r="B219" s="17"/>
      <c r="C219" s="17"/>
      <c r="D219" s="17"/>
      <c r="E219" s="17"/>
      <c r="F219" s="18"/>
      <c r="G219" s="18"/>
      <c r="H219" s="461"/>
      <c r="I219" s="461"/>
      <c r="J219" s="19"/>
      <c r="K219" s="20"/>
      <c r="L219" s="21"/>
      <c r="M219" s="465" t="s">
        <v>115</v>
      </c>
      <c r="N219" s="465"/>
      <c r="O219" s="465"/>
    </row>
    <row r="220" spans="1:15" ht="5.25" customHeight="1">
      <c r="A220" s="17"/>
      <c r="B220" s="17"/>
      <c r="C220" s="17"/>
      <c r="D220" s="17"/>
      <c r="E220" s="17"/>
      <c r="F220" s="18"/>
      <c r="G220" s="18"/>
      <c r="H220" s="19"/>
      <c r="I220" s="19"/>
      <c r="J220" s="19"/>
      <c r="K220" s="20"/>
      <c r="L220" s="21"/>
      <c r="M220" s="168"/>
      <c r="N220" s="168"/>
      <c r="O220" s="168"/>
    </row>
    <row r="221" spans="1:15" ht="48" customHeight="1">
      <c r="A221" s="23"/>
      <c r="B221" s="23"/>
      <c r="C221" s="24"/>
      <c r="D221" s="24"/>
      <c r="E221" s="24"/>
      <c r="F221" s="20"/>
      <c r="G221" s="20"/>
      <c r="H221" s="25"/>
      <c r="I221" s="26"/>
      <c r="J221" s="26"/>
      <c r="K221" s="20"/>
      <c r="L221" s="21"/>
      <c r="M221" s="169"/>
      <c r="N221" s="169"/>
      <c r="O221" s="169"/>
    </row>
    <row r="222" spans="1:15" ht="13.5">
      <c r="A222" s="17" t="s">
        <v>71</v>
      </c>
      <c r="B222" s="17"/>
      <c r="C222" s="17"/>
      <c r="D222" s="17"/>
      <c r="E222" s="17"/>
      <c r="F222" s="27"/>
      <c r="G222" s="27"/>
      <c r="H222" s="495"/>
      <c r="I222" s="495"/>
      <c r="J222" s="28"/>
      <c r="K222" s="20"/>
      <c r="L222" s="21"/>
      <c r="M222" s="466" t="s">
        <v>116</v>
      </c>
      <c r="N222" s="466"/>
      <c r="O222" s="466"/>
    </row>
    <row r="223" spans="1:15" ht="34.5" customHeight="1">
      <c r="A223" s="17"/>
      <c r="B223" s="17"/>
      <c r="C223" s="17"/>
      <c r="D223" s="17"/>
      <c r="E223" s="17"/>
      <c r="F223" s="27"/>
      <c r="G223" s="27"/>
      <c r="H223" s="28"/>
      <c r="I223" s="28"/>
      <c r="J223" s="28"/>
      <c r="K223" s="20"/>
      <c r="L223" s="21"/>
      <c r="M223" s="170"/>
      <c r="N223" s="170"/>
      <c r="O223" s="170"/>
    </row>
    <row r="224" spans="1:15" ht="15" customHeight="1">
      <c r="A224" s="17"/>
      <c r="B224" s="17"/>
      <c r="C224" s="17"/>
      <c r="D224" s="27"/>
      <c r="E224" s="27"/>
      <c r="F224" s="28"/>
      <c r="G224" s="28"/>
      <c r="H224" s="28"/>
      <c r="I224" s="20"/>
      <c r="J224" s="21"/>
      <c r="K224" s="170"/>
      <c r="L224" s="170"/>
      <c r="M224" s="170"/>
      <c r="N224"/>
      <c r="O224"/>
    </row>
    <row r="225" spans="1:15" ht="15.75" customHeight="1">
      <c r="A225" s="17"/>
      <c r="B225" s="17"/>
      <c r="C225" s="17"/>
      <c r="D225" s="27"/>
      <c r="E225" s="27"/>
      <c r="F225" s="28"/>
      <c r="G225" s="28"/>
      <c r="H225" s="28"/>
      <c r="I225" s="20"/>
      <c r="J225" s="21"/>
      <c r="K225" s="170"/>
      <c r="L225" s="170"/>
      <c r="M225" s="170"/>
      <c r="N225"/>
      <c r="O225"/>
    </row>
    <row r="226" spans="1:15" ht="19.5" customHeight="1">
      <c r="A226" s="172" t="s">
        <v>128</v>
      </c>
      <c r="B226" s="172"/>
      <c r="C226" s="172"/>
      <c r="D226" s="172"/>
      <c r="E226" s="18"/>
      <c r="F226" s="494"/>
      <c r="G226" s="494"/>
      <c r="H226" s="22"/>
      <c r="I226" s="20"/>
      <c r="J226" s="65"/>
      <c r="K226" s="65"/>
      <c r="L226" s="65"/>
      <c r="M226" s="65"/>
      <c r="N226" s="65"/>
      <c r="O226" s="65"/>
    </row>
    <row r="227" spans="1:15" ht="17.25" customHeight="1">
      <c r="A227" s="173"/>
      <c r="B227" s="173"/>
      <c r="C227" s="173"/>
      <c r="D227" s="173"/>
      <c r="E227" s="18"/>
      <c r="F227" s="22"/>
      <c r="G227" s="22"/>
      <c r="H227" s="22"/>
      <c r="I227" s="20"/>
      <c r="J227"/>
      <c r="K227"/>
      <c r="L227"/>
      <c r="M227"/>
      <c r="N227"/>
      <c r="O227"/>
    </row>
    <row r="228" spans="1:15" ht="12.75" customHeight="1">
      <c r="A228" s="171"/>
      <c r="B228" s="29"/>
      <c r="C228" s="174"/>
      <c r="D228" s="18"/>
      <c r="E228" s="30"/>
      <c r="F228" s="30"/>
      <c r="G228" s="30"/>
      <c r="H228" s="30"/>
      <c r="I228" s="20"/>
      <c r="J228"/>
      <c r="K228"/>
      <c r="L228"/>
      <c r="M228"/>
      <c r="N228"/>
      <c r="O228"/>
    </row>
    <row r="229" spans="1:15" ht="12.75">
      <c r="A229" s="66"/>
      <c r="B229" s="66"/>
      <c r="C229" s="66"/>
      <c r="D229" s="67"/>
      <c r="E229" s="67"/>
      <c r="F229" s="67"/>
      <c r="G229" s="67"/>
      <c r="H229" s="67"/>
      <c r="I229" s="67"/>
      <c r="J229" s="65"/>
      <c r="K229"/>
      <c r="L229"/>
      <c r="M229"/>
      <c r="N229"/>
      <c r="O229"/>
    </row>
    <row r="230" spans="1:15" ht="12.75">
      <c r="A230" s="65"/>
      <c r="B230" s="66"/>
      <c r="C230" s="66"/>
      <c r="D230" s="66"/>
      <c r="E230" s="66"/>
      <c r="F230" s="67"/>
      <c r="G230" s="67"/>
      <c r="H230" s="67"/>
      <c r="I230" s="67"/>
      <c r="J230" s="67"/>
      <c r="K230" s="67"/>
      <c r="L230" s="65"/>
      <c r="M230"/>
      <c r="N230"/>
      <c r="O230"/>
    </row>
    <row r="231" spans="1:15" ht="12.75">
      <c r="A231" s="65"/>
      <c r="B231" s="66"/>
      <c r="C231" s="66"/>
      <c r="D231" s="66"/>
      <c r="E231" s="66"/>
      <c r="F231" s="67"/>
      <c r="G231" s="67"/>
      <c r="H231" s="67"/>
      <c r="I231" s="67"/>
      <c r="J231" s="67"/>
      <c r="K231" s="67"/>
      <c r="L231" s="65"/>
      <c r="M231"/>
      <c r="N231"/>
      <c r="O231"/>
    </row>
    <row r="232" spans="1:16" ht="15">
      <c r="A232" s="65"/>
      <c r="B232" s="80" t="s">
        <v>179</v>
      </c>
      <c r="C232" s="66"/>
      <c r="D232" s="66"/>
      <c r="E232" s="66"/>
      <c r="F232" s="67"/>
      <c r="G232" s="67"/>
      <c r="H232" s="67"/>
      <c r="I232" s="67"/>
      <c r="J232" s="67"/>
      <c r="K232" s="67"/>
      <c r="L232" s="66"/>
      <c r="M232" s="66"/>
      <c r="N232" s="66"/>
      <c r="O232" s="66"/>
      <c r="P232" s="65"/>
    </row>
    <row r="233" spans="1:16" ht="12.75">
      <c r="A233" s="65"/>
      <c r="B233" s="66"/>
      <c r="C233" s="66"/>
      <c r="D233" s="66"/>
      <c r="E233" s="66"/>
      <c r="F233" s="67"/>
      <c r="G233" s="67"/>
      <c r="H233" s="67"/>
      <c r="I233" s="67"/>
      <c r="J233" s="67"/>
      <c r="K233" s="67"/>
      <c r="L233" s="66"/>
      <c r="M233" s="66"/>
      <c r="N233" s="66"/>
      <c r="O233" s="66"/>
      <c r="P233" s="65"/>
    </row>
    <row r="234" spans="1:19" ht="120.75" customHeight="1">
      <c r="A234" s="75"/>
      <c r="B234" s="73" t="s">
        <v>21</v>
      </c>
      <c r="C234" s="78" t="s">
        <v>148</v>
      </c>
      <c r="D234" s="78" t="s">
        <v>149</v>
      </c>
      <c r="E234" s="78" t="s">
        <v>151</v>
      </c>
      <c r="F234" s="78" t="s">
        <v>140</v>
      </c>
      <c r="G234" s="78" t="s">
        <v>153</v>
      </c>
      <c r="H234" s="78" t="s">
        <v>150</v>
      </c>
      <c r="I234" s="78" t="s">
        <v>181</v>
      </c>
      <c r="J234" s="79" t="s">
        <v>152</v>
      </c>
      <c r="K234" s="78" t="s">
        <v>141</v>
      </c>
      <c r="L234" s="501" t="s">
        <v>180</v>
      </c>
      <c r="M234" s="501"/>
      <c r="N234" s="67"/>
      <c r="O234" s="66"/>
      <c r="P234" s="66"/>
      <c r="Q234" s="66"/>
      <c r="R234" s="66"/>
      <c r="S234" s="65"/>
    </row>
    <row r="235" spans="1:19" ht="9" customHeight="1">
      <c r="A235" s="2">
        <v>1</v>
      </c>
      <c r="B235" s="81">
        <v>2</v>
      </c>
      <c r="C235" s="81">
        <v>3</v>
      </c>
      <c r="D235" s="81">
        <v>4</v>
      </c>
      <c r="E235" s="81">
        <v>5</v>
      </c>
      <c r="F235" s="81">
        <v>6</v>
      </c>
      <c r="G235" s="81">
        <v>7</v>
      </c>
      <c r="H235" s="81">
        <v>8</v>
      </c>
      <c r="I235" s="81">
        <v>9</v>
      </c>
      <c r="J235" s="82">
        <v>10</v>
      </c>
      <c r="K235" s="82">
        <v>11</v>
      </c>
      <c r="L235" s="505">
        <v>12</v>
      </c>
      <c r="M235" s="505"/>
      <c r="N235" s="67"/>
      <c r="O235" s="66"/>
      <c r="P235" s="66"/>
      <c r="Q235" s="66"/>
      <c r="R235" s="66"/>
      <c r="S235" s="65"/>
    </row>
    <row r="236" spans="1:19" ht="20.25" customHeight="1">
      <c r="A236" s="72">
        <v>1</v>
      </c>
      <c r="B236" s="71" t="s">
        <v>38</v>
      </c>
      <c r="C236" s="68" t="s">
        <v>143</v>
      </c>
      <c r="D236" s="68" t="s">
        <v>143</v>
      </c>
      <c r="E236" s="68" t="s">
        <v>143</v>
      </c>
      <c r="F236" s="68" t="s">
        <v>143</v>
      </c>
      <c r="G236" s="68" t="s">
        <v>143</v>
      </c>
      <c r="H236" s="68" t="s">
        <v>143</v>
      </c>
      <c r="I236" s="68" t="s">
        <v>143</v>
      </c>
      <c r="J236" s="68" t="s">
        <v>143</v>
      </c>
      <c r="K236" s="68" t="s">
        <v>143</v>
      </c>
      <c r="L236" s="503">
        <f>L237+L238+L239</f>
        <v>8880.1</v>
      </c>
      <c r="M236" s="504"/>
      <c r="N236" s="67"/>
      <c r="O236" s="66"/>
      <c r="P236" s="66"/>
      <c r="Q236" s="66"/>
      <c r="R236" s="66"/>
      <c r="S236" s="65"/>
    </row>
    <row r="237" spans="1:19" ht="12.75">
      <c r="A237" s="72"/>
      <c r="B237" s="73" t="s">
        <v>39</v>
      </c>
      <c r="C237" s="68" t="s">
        <v>143</v>
      </c>
      <c r="D237" s="68" t="s">
        <v>143</v>
      </c>
      <c r="E237" s="68" t="s">
        <v>143</v>
      </c>
      <c r="F237" s="68" t="s">
        <v>143</v>
      </c>
      <c r="G237" s="68" t="s">
        <v>143</v>
      </c>
      <c r="H237" s="68" t="s">
        <v>143</v>
      </c>
      <c r="I237" s="68" t="s">
        <v>143</v>
      </c>
      <c r="J237" s="68" t="s">
        <v>143</v>
      </c>
      <c r="K237" s="68" t="s">
        <v>143</v>
      </c>
      <c r="L237" s="502">
        <v>270.1</v>
      </c>
      <c r="M237" s="502"/>
      <c r="N237" s="67"/>
      <c r="O237" s="66"/>
      <c r="P237" s="66"/>
      <c r="Q237" s="66"/>
      <c r="R237" s="66"/>
      <c r="S237" s="65"/>
    </row>
    <row r="238" spans="1:19" ht="12.75">
      <c r="A238" s="72"/>
      <c r="B238" s="73" t="s">
        <v>103</v>
      </c>
      <c r="C238" s="68" t="s">
        <v>143</v>
      </c>
      <c r="D238" s="68" t="s">
        <v>143</v>
      </c>
      <c r="E238" s="68" t="s">
        <v>143</v>
      </c>
      <c r="F238" s="68" t="s">
        <v>143</v>
      </c>
      <c r="G238" s="68" t="s">
        <v>143</v>
      </c>
      <c r="H238" s="68" t="s">
        <v>143</v>
      </c>
      <c r="I238" s="68" t="s">
        <v>143</v>
      </c>
      <c r="J238" s="68" t="s">
        <v>143</v>
      </c>
      <c r="K238" s="68" t="s">
        <v>143</v>
      </c>
      <c r="L238" s="502"/>
      <c r="M238" s="502"/>
      <c r="N238" s="67"/>
      <c r="O238" s="66"/>
      <c r="P238" s="66"/>
      <c r="Q238" s="66"/>
      <c r="R238" s="66"/>
      <c r="S238" s="65"/>
    </row>
    <row r="239" spans="1:19" ht="12.75">
      <c r="A239" s="72"/>
      <c r="B239" s="71" t="s">
        <v>40</v>
      </c>
      <c r="C239" s="68" t="s">
        <v>143</v>
      </c>
      <c r="D239" s="68" t="s">
        <v>143</v>
      </c>
      <c r="E239" s="68" t="s">
        <v>143</v>
      </c>
      <c r="F239" s="68" t="s">
        <v>143</v>
      </c>
      <c r="G239" s="68" t="s">
        <v>143</v>
      </c>
      <c r="H239" s="68" t="s">
        <v>143</v>
      </c>
      <c r="I239" s="68" t="s">
        <v>143</v>
      </c>
      <c r="J239" s="68" t="s">
        <v>143</v>
      </c>
      <c r="K239" s="68" t="s">
        <v>143</v>
      </c>
      <c r="L239" s="502">
        <v>8610</v>
      </c>
      <c r="M239" s="502"/>
      <c r="N239" s="67"/>
      <c r="O239" s="66"/>
      <c r="P239" s="66"/>
      <c r="Q239" s="66"/>
      <c r="R239" s="66"/>
      <c r="S239" s="65"/>
    </row>
    <row r="240" spans="1:19" ht="39">
      <c r="A240" s="62">
        <v>2</v>
      </c>
      <c r="B240" s="71" t="s">
        <v>183</v>
      </c>
      <c r="C240" s="123">
        <f>D240*E240</f>
        <v>1645.44</v>
      </c>
      <c r="D240" s="77">
        <v>0.26</v>
      </c>
      <c r="E240" s="124">
        <v>6328.6</v>
      </c>
      <c r="F240" s="126">
        <v>245.8</v>
      </c>
      <c r="G240" s="113">
        <f>H240*I240*J240</f>
        <v>659.34</v>
      </c>
      <c r="H240" s="124">
        <v>0.18</v>
      </c>
      <c r="I240" s="124">
        <v>11</v>
      </c>
      <c r="J240" s="99">
        <v>333</v>
      </c>
      <c r="K240" s="126">
        <v>0</v>
      </c>
      <c r="L240" s="500">
        <f>C240+F240+G240+K240</f>
        <v>2550.58</v>
      </c>
      <c r="M240" s="500"/>
      <c r="N240" s="67"/>
      <c r="O240" s="66"/>
      <c r="P240" s="66"/>
      <c r="Q240" s="66"/>
      <c r="R240" s="66"/>
      <c r="S240" s="65"/>
    </row>
    <row r="241" spans="1:19" ht="26.25">
      <c r="A241" s="62">
        <v>3</v>
      </c>
      <c r="B241" s="71" t="s">
        <v>154</v>
      </c>
      <c r="C241" s="123">
        <f>D241*E241</f>
        <v>337.14</v>
      </c>
      <c r="D241" s="77">
        <v>0.34</v>
      </c>
      <c r="E241" s="124">
        <v>991.6</v>
      </c>
      <c r="F241" s="126">
        <v>33</v>
      </c>
      <c r="G241" s="113">
        <f>H241*I241*J241</f>
        <v>0</v>
      </c>
      <c r="H241" s="124">
        <v>0</v>
      </c>
      <c r="I241" s="124">
        <v>0</v>
      </c>
      <c r="J241" s="99">
        <v>0</v>
      </c>
      <c r="K241" s="126">
        <v>0</v>
      </c>
      <c r="L241" s="500">
        <f>C241+F241+G241+K241</f>
        <v>370.14</v>
      </c>
      <c r="M241" s="500"/>
      <c r="N241" s="67"/>
      <c r="O241" s="66"/>
      <c r="P241" s="66"/>
      <c r="Q241" s="66"/>
      <c r="R241" s="66"/>
      <c r="S241" s="65"/>
    </row>
    <row r="242" spans="1:19" ht="26.25">
      <c r="A242" s="72">
        <v>4</v>
      </c>
      <c r="B242" s="71" t="s">
        <v>184</v>
      </c>
      <c r="C242" s="68" t="s">
        <v>143</v>
      </c>
      <c r="D242" s="68" t="s">
        <v>143</v>
      </c>
      <c r="E242" s="68" t="s">
        <v>143</v>
      </c>
      <c r="F242" s="68" t="s">
        <v>143</v>
      </c>
      <c r="G242" s="68" t="s">
        <v>143</v>
      </c>
      <c r="H242" s="68" t="s">
        <v>143</v>
      </c>
      <c r="I242" s="68" t="s">
        <v>143</v>
      </c>
      <c r="J242" s="68" t="s">
        <v>143</v>
      </c>
      <c r="K242" s="68" t="s">
        <v>143</v>
      </c>
      <c r="L242" s="502">
        <v>0</v>
      </c>
      <c r="M242" s="502"/>
      <c r="N242" s="67"/>
      <c r="O242" s="66"/>
      <c r="P242" s="66"/>
      <c r="Q242" s="66"/>
      <c r="R242" s="66"/>
      <c r="S242" s="65"/>
    </row>
    <row r="243" spans="1:19" ht="12.75">
      <c r="A243" s="72">
        <v>5</v>
      </c>
      <c r="B243" s="71" t="s">
        <v>22</v>
      </c>
      <c r="C243" s="68" t="s">
        <v>143</v>
      </c>
      <c r="D243" s="68" t="s">
        <v>143</v>
      </c>
      <c r="E243" s="68" t="s">
        <v>143</v>
      </c>
      <c r="F243" s="68" t="s">
        <v>143</v>
      </c>
      <c r="G243" s="68" t="s">
        <v>143</v>
      </c>
      <c r="H243" s="68" t="s">
        <v>143</v>
      </c>
      <c r="I243" s="68" t="s">
        <v>143</v>
      </c>
      <c r="J243" s="68" t="s">
        <v>143</v>
      </c>
      <c r="K243" s="68" t="s">
        <v>143</v>
      </c>
      <c r="L243" s="507">
        <v>23.2</v>
      </c>
      <c r="M243" s="507"/>
      <c r="N243" s="67"/>
      <c r="O243" s="66"/>
      <c r="P243" s="66"/>
      <c r="Q243" s="66"/>
      <c r="R243" s="66"/>
      <c r="S243" s="65"/>
    </row>
    <row r="244" spans="1:19" ht="26.25">
      <c r="A244" s="72">
        <v>6</v>
      </c>
      <c r="B244" s="71" t="s">
        <v>25</v>
      </c>
      <c r="C244" s="68" t="s">
        <v>143</v>
      </c>
      <c r="D244" s="68" t="s">
        <v>143</v>
      </c>
      <c r="E244" s="68" t="s">
        <v>143</v>
      </c>
      <c r="F244" s="68" t="s">
        <v>143</v>
      </c>
      <c r="G244" s="68" t="s">
        <v>143</v>
      </c>
      <c r="H244" s="68" t="s">
        <v>143</v>
      </c>
      <c r="I244" s="68" t="s">
        <v>143</v>
      </c>
      <c r="J244" s="68" t="s">
        <v>143</v>
      </c>
      <c r="K244" s="68" t="s">
        <v>143</v>
      </c>
      <c r="L244" s="507">
        <v>0</v>
      </c>
      <c r="M244" s="507"/>
      <c r="N244" s="67"/>
      <c r="O244" s="66"/>
      <c r="P244" s="66"/>
      <c r="Q244" s="66"/>
      <c r="R244" s="66"/>
      <c r="S244" s="65"/>
    </row>
    <row r="245" spans="1:19" ht="12.75">
      <c r="A245" s="134"/>
      <c r="B245" s="135" t="s">
        <v>41</v>
      </c>
      <c r="C245" s="114">
        <f>C240+C241</f>
        <v>1982.58</v>
      </c>
      <c r="D245" s="133" t="s">
        <v>143</v>
      </c>
      <c r="E245" s="133" t="s">
        <v>143</v>
      </c>
      <c r="F245" s="114">
        <f>F240+F241</f>
        <v>278.8</v>
      </c>
      <c r="G245" s="114">
        <f>G240+G241</f>
        <v>659.34</v>
      </c>
      <c r="H245" s="133" t="s">
        <v>143</v>
      </c>
      <c r="I245" s="133" t="s">
        <v>143</v>
      </c>
      <c r="J245" s="133" t="s">
        <v>143</v>
      </c>
      <c r="K245" s="114">
        <f>K240+K241</f>
        <v>0</v>
      </c>
      <c r="L245" s="506">
        <f>L236+L240+L241+L242+L243+L244</f>
        <v>11824.02</v>
      </c>
      <c r="M245" s="506"/>
      <c r="N245" s="67"/>
      <c r="O245" s="66"/>
      <c r="P245" s="66"/>
      <c r="Q245" s="66"/>
      <c r="R245" s="66"/>
      <c r="S245" s="65"/>
    </row>
    <row r="246" spans="1:16" ht="12.75">
      <c r="A246" s="65"/>
      <c r="B246" s="66"/>
      <c r="C246" s="66"/>
      <c r="D246" s="66"/>
      <c r="E246" s="66"/>
      <c r="F246" s="67"/>
      <c r="G246" s="67"/>
      <c r="H246" s="67"/>
      <c r="I246" s="67"/>
      <c r="J246" s="67"/>
      <c r="K246" s="67"/>
      <c r="L246" s="66"/>
      <c r="M246" s="66"/>
      <c r="N246" s="66"/>
      <c r="O246" s="66"/>
      <c r="P246" s="65"/>
    </row>
    <row r="247" spans="1:16" ht="12.75">
      <c r="A247" s="65"/>
      <c r="B247" s="66"/>
      <c r="C247" s="66"/>
      <c r="D247" s="66"/>
      <c r="E247" s="66"/>
      <c r="F247" s="67"/>
      <c r="G247" s="67"/>
      <c r="H247" s="67"/>
      <c r="I247" s="67"/>
      <c r="J247" s="67"/>
      <c r="K247" s="67"/>
      <c r="L247" s="66"/>
      <c r="M247" s="66"/>
      <c r="N247" s="66"/>
      <c r="O247" s="66"/>
      <c r="P247" s="65"/>
    </row>
    <row r="248" spans="1:16" ht="12.75">
      <c r="A248" s="65"/>
      <c r="B248" s="66"/>
      <c r="C248" s="66"/>
      <c r="D248" s="66"/>
      <c r="E248" s="66"/>
      <c r="F248" s="67"/>
      <c r="G248" s="67"/>
      <c r="H248" s="67"/>
      <c r="I248" s="67"/>
      <c r="J248" s="67"/>
      <c r="K248" s="67"/>
      <c r="L248" s="66"/>
      <c r="M248" s="66"/>
      <c r="N248" s="66"/>
      <c r="O248" s="66"/>
      <c r="P248" s="65"/>
    </row>
    <row r="249" spans="1:16" ht="12.75">
      <c r="A249" s="65"/>
      <c r="B249" s="66"/>
      <c r="C249" s="66"/>
      <c r="D249" s="66"/>
      <c r="E249" s="66"/>
      <c r="F249" s="67"/>
      <c r="G249" s="67"/>
      <c r="H249" s="67"/>
      <c r="I249" s="67"/>
      <c r="J249" s="67"/>
      <c r="K249" s="67"/>
      <c r="L249" s="66"/>
      <c r="M249" s="66"/>
      <c r="N249" s="66"/>
      <c r="O249" s="66"/>
      <c r="P249" s="65"/>
    </row>
    <row r="250" spans="1:16" ht="12.75">
      <c r="A250" s="65"/>
      <c r="B250" s="66"/>
      <c r="C250" s="66"/>
      <c r="D250" s="66"/>
      <c r="E250" s="66"/>
      <c r="F250" s="67"/>
      <c r="G250" s="67"/>
      <c r="H250" s="67"/>
      <c r="I250" s="67"/>
      <c r="J250" s="67"/>
      <c r="K250" s="67"/>
      <c r="L250" s="66"/>
      <c r="M250" s="66"/>
      <c r="N250" s="66"/>
      <c r="O250" s="66"/>
      <c r="P250" s="65"/>
    </row>
    <row r="251" spans="1:16" ht="12.75">
      <c r="A251" s="65"/>
      <c r="B251" s="66"/>
      <c r="C251" s="66"/>
      <c r="D251" s="66"/>
      <c r="E251" s="66"/>
      <c r="F251" s="67"/>
      <c r="G251" s="67"/>
      <c r="H251" s="67"/>
      <c r="I251" s="67"/>
      <c r="J251" s="67"/>
      <c r="K251" s="67"/>
      <c r="L251" s="66"/>
      <c r="M251" s="66"/>
      <c r="N251" s="66"/>
      <c r="O251" s="66"/>
      <c r="P251" s="65"/>
    </row>
    <row r="252" spans="1:16" ht="12.75">
      <c r="A252" s="65"/>
      <c r="B252" s="66"/>
      <c r="C252" s="66"/>
      <c r="D252" s="66"/>
      <c r="E252" s="66"/>
      <c r="F252" s="67"/>
      <c r="G252" s="67"/>
      <c r="H252" s="67"/>
      <c r="I252" s="67"/>
      <c r="J252" s="67"/>
      <c r="K252" s="67"/>
      <c r="L252" s="66"/>
      <c r="M252" s="66"/>
      <c r="N252" s="66"/>
      <c r="O252" s="66"/>
      <c r="P252" s="65"/>
    </row>
    <row r="253" spans="1:16" ht="12.75">
      <c r="A253" s="65"/>
      <c r="B253" s="66"/>
      <c r="C253" s="66"/>
      <c r="D253" s="66"/>
      <c r="E253" s="66"/>
      <c r="F253" s="67"/>
      <c r="G253" s="67"/>
      <c r="H253" s="67"/>
      <c r="I253" s="67"/>
      <c r="J253" s="67"/>
      <c r="K253" s="67"/>
      <c r="L253" s="66"/>
      <c r="M253" s="66"/>
      <c r="N253" s="66"/>
      <c r="O253" s="66"/>
      <c r="P253" s="65"/>
    </row>
    <row r="254" spans="1:16" ht="12.75">
      <c r="A254" s="65"/>
      <c r="B254" s="66"/>
      <c r="C254" s="66"/>
      <c r="D254" s="66"/>
      <c r="E254" s="66"/>
      <c r="F254" s="67"/>
      <c r="G254" s="67"/>
      <c r="H254" s="67"/>
      <c r="I254" s="67"/>
      <c r="J254" s="67"/>
      <c r="K254" s="67"/>
      <c r="L254" s="66"/>
      <c r="M254" s="66"/>
      <c r="N254" s="66"/>
      <c r="O254" s="66"/>
      <c r="P254" s="65"/>
    </row>
    <row r="255" spans="1:16" ht="12.75">
      <c r="A255" s="65"/>
      <c r="B255" s="66"/>
      <c r="C255" s="66"/>
      <c r="D255" s="66"/>
      <c r="E255" s="66"/>
      <c r="F255" s="67"/>
      <c r="G255" s="67"/>
      <c r="H255" s="67"/>
      <c r="I255" s="67"/>
      <c r="J255" s="67"/>
      <c r="K255" s="67"/>
      <c r="L255" s="66"/>
      <c r="M255" s="66"/>
      <c r="N255" s="66"/>
      <c r="O255" s="66"/>
      <c r="P255" s="65"/>
    </row>
    <row r="256" spans="1:16" ht="18">
      <c r="A256" s="65"/>
      <c r="B256" s="131" t="s">
        <v>144</v>
      </c>
      <c r="C256" s="66"/>
      <c r="D256" s="66"/>
      <c r="E256" s="66"/>
      <c r="F256" s="67"/>
      <c r="G256" s="67"/>
      <c r="H256" s="67"/>
      <c r="I256" s="67"/>
      <c r="J256" s="67"/>
      <c r="K256" s="67"/>
      <c r="L256" s="66"/>
      <c r="M256" s="66"/>
      <c r="N256" s="66"/>
      <c r="O256" s="66"/>
      <c r="P256" s="65"/>
    </row>
    <row r="257" spans="1:16" ht="18">
      <c r="A257" s="65"/>
      <c r="B257" s="131"/>
      <c r="C257" s="66"/>
      <c r="D257" s="66"/>
      <c r="E257" s="66"/>
      <c r="F257" s="67"/>
      <c r="G257" s="67"/>
      <c r="H257" s="67"/>
      <c r="I257" s="67"/>
      <c r="J257" s="67"/>
      <c r="K257" s="67"/>
      <c r="L257" s="66"/>
      <c r="M257" s="66"/>
      <c r="N257" s="66"/>
      <c r="O257" s="66"/>
      <c r="P257" s="65"/>
    </row>
    <row r="258" spans="1:16" ht="18">
      <c r="A258" s="65"/>
      <c r="B258" s="131"/>
      <c r="C258" s="66"/>
      <c r="D258" s="66"/>
      <c r="E258" s="66"/>
      <c r="F258" s="67"/>
      <c r="G258" s="67"/>
      <c r="H258" s="67"/>
      <c r="I258" s="67"/>
      <c r="J258" s="67"/>
      <c r="K258" s="67"/>
      <c r="L258" s="66"/>
      <c r="M258" s="66"/>
      <c r="N258" s="66"/>
      <c r="O258" s="66"/>
      <c r="P258" s="65"/>
    </row>
    <row r="259" spans="1:16" ht="18">
      <c r="A259" s="65"/>
      <c r="B259" s="131"/>
      <c r="C259" s="66"/>
      <c r="D259" s="66"/>
      <c r="E259" s="66"/>
      <c r="F259" s="67"/>
      <c r="G259" s="67"/>
      <c r="H259" s="67"/>
      <c r="I259" s="67"/>
      <c r="J259" s="67"/>
      <c r="K259" s="67"/>
      <c r="L259" s="66"/>
      <c r="M259" s="66"/>
      <c r="N259" s="66"/>
      <c r="O259" s="66"/>
      <c r="P259" s="65"/>
    </row>
    <row r="260" spans="1:16" ht="18">
      <c r="A260" s="65"/>
      <c r="B260" s="131"/>
      <c r="C260" s="66"/>
      <c r="D260" s="66"/>
      <c r="E260" s="66"/>
      <c r="F260" s="67"/>
      <c r="G260" s="67"/>
      <c r="H260" s="67"/>
      <c r="I260" s="67"/>
      <c r="J260" s="67"/>
      <c r="K260" s="67"/>
      <c r="L260" s="66"/>
      <c r="M260" s="66"/>
      <c r="N260" s="66"/>
      <c r="O260" s="66"/>
      <c r="P260" s="65"/>
    </row>
    <row r="261" ht="18">
      <c r="B261" s="132"/>
    </row>
    <row r="262" ht="18">
      <c r="B262" s="132"/>
    </row>
    <row r="263" ht="18">
      <c r="B263" s="132"/>
    </row>
    <row r="264" ht="18">
      <c r="B264" s="132" t="s">
        <v>146</v>
      </c>
    </row>
    <row r="265" ht="18">
      <c r="B265" s="132" t="s">
        <v>145</v>
      </c>
    </row>
  </sheetData>
  <sheetProtection password="C78A" sheet="1" objects="1" scenarios="1" formatCells="0" formatColumns="0" formatRows="0"/>
  <mergeCells count="73">
    <mergeCell ref="L245:M245"/>
    <mergeCell ref="L242:M242"/>
    <mergeCell ref="L243:M243"/>
    <mergeCell ref="L244:M244"/>
    <mergeCell ref="N207:O207"/>
    <mergeCell ref="L241:M241"/>
    <mergeCell ref="L234:M234"/>
    <mergeCell ref="L240:M240"/>
    <mergeCell ref="L237:M237"/>
    <mergeCell ref="L238:M238"/>
    <mergeCell ref="L239:M239"/>
    <mergeCell ref="L236:M236"/>
    <mergeCell ref="L235:M235"/>
    <mergeCell ref="E203:E204"/>
    <mergeCell ref="A4:D4"/>
    <mergeCell ref="L203:L204"/>
    <mergeCell ref="F226:G226"/>
    <mergeCell ref="H222:I222"/>
    <mergeCell ref="J203:J204"/>
    <mergeCell ref="I203:I204"/>
    <mergeCell ref="K203:K204"/>
    <mergeCell ref="I5:N5"/>
    <mergeCell ref="N6:N7"/>
    <mergeCell ref="E4:I4"/>
    <mergeCell ref="A1:O3"/>
    <mergeCell ref="E5:E7"/>
    <mergeCell ref="O5:O7"/>
    <mergeCell ref="F203:F204"/>
    <mergeCell ref="A5:A7"/>
    <mergeCell ref="B5:B7"/>
    <mergeCell ref="M6:M7"/>
    <mergeCell ref="F5:H5"/>
    <mergeCell ref="H6:H7"/>
    <mergeCell ref="B190:C190"/>
    <mergeCell ref="J4:O4"/>
    <mergeCell ref="I6:J6"/>
    <mergeCell ref="B188:C188"/>
    <mergeCell ref="B189:C189"/>
    <mergeCell ref="F6:F7"/>
    <mergeCell ref="C5:C7"/>
    <mergeCell ref="D5:D7"/>
    <mergeCell ref="K6:L6"/>
    <mergeCell ref="G6:G7"/>
    <mergeCell ref="M222:O222"/>
    <mergeCell ref="N216:O216"/>
    <mergeCell ref="N217:O217"/>
    <mergeCell ref="N214:O214"/>
    <mergeCell ref="O9:O11"/>
    <mergeCell ref="A202:O202"/>
    <mergeCell ref="B192:C192"/>
    <mergeCell ref="B203:B204"/>
    <mergeCell ref="N203:O204"/>
    <mergeCell ref="A203:A204"/>
    <mergeCell ref="H219:I219"/>
    <mergeCell ref="N206:O206"/>
    <mergeCell ref="N211:O211"/>
    <mergeCell ref="N212:O212"/>
    <mergeCell ref="N208:O208"/>
    <mergeCell ref="N209:O209"/>
    <mergeCell ref="N210:O210"/>
    <mergeCell ref="N213:O213"/>
    <mergeCell ref="N215:O215"/>
    <mergeCell ref="M219:O219"/>
    <mergeCell ref="N205:O205"/>
    <mergeCell ref="O20:O23"/>
    <mergeCell ref="A201:B201"/>
    <mergeCell ref="M203:M204"/>
    <mergeCell ref="G203:G204"/>
    <mergeCell ref="H203:H204"/>
    <mergeCell ref="B191:C191"/>
    <mergeCell ref="C203:C204"/>
    <mergeCell ref="D203:D204"/>
    <mergeCell ref="B200:O200"/>
  </mergeCells>
  <printOptions/>
  <pageMargins left="0.4330708661417323" right="0.07874015748031496" top="0.03937007874015748" bottom="0" header="0" footer="0"/>
  <pageSetup horizontalDpi="600" verticalDpi="600" orientation="portrait" paperSize="9" scale="68" r:id="rId1"/>
  <rowBreaks count="1" manualBreakCount="1">
    <brk id="22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6"/>
  <sheetViews>
    <sheetView zoomScalePageLayoutView="0" workbookViewId="0" topLeftCell="B188">
      <selection activeCell="B200" sqref="B200:W200"/>
    </sheetView>
  </sheetViews>
  <sheetFormatPr defaultColWidth="9.00390625" defaultRowHeight="12.75"/>
  <cols>
    <col min="1" max="1" width="4.375" style="0" customWidth="1"/>
    <col min="2" max="2" width="22.875" style="4" customWidth="1"/>
    <col min="3" max="3" width="8.125" style="4" customWidth="1"/>
    <col min="4" max="4" width="8.50390625" style="4" hidden="1" customWidth="1"/>
    <col min="5" max="5" width="9.00390625" style="4" hidden="1" customWidth="1"/>
    <col min="6" max="6" width="8.875" style="4" customWidth="1"/>
    <col min="7" max="7" width="8.875" style="4" hidden="1" customWidth="1"/>
    <col min="8" max="8" width="8.50390625" style="6" customWidth="1"/>
    <col min="9" max="9" width="8.50390625" style="6" hidden="1" customWidth="1"/>
    <col min="10" max="10" width="8.50390625" style="357" customWidth="1"/>
    <col min="11" max="11" width="8.375" style="6" customWidth="1"/>
    <col min="12" max="12" width="8.50390625" style="6" hidden="1" customWidth="1"/>
    <col min="13" max="13" width="7.50390625" style="4" hidden="1" customWidth="1"/>
    <col min="14" max="14" width="8.50390625" style="4" hidden="1" customWidth="1"/>
    <col min="15" max="15" width="6.50390625" style="4" hidden="1" customWidth="1"/>
    <col min="16" max="16" width="8.125" style="0" customWidth="1"/>
    <col min="17" max="17" width="8.625" style="0" customWidth="1"/>
    <col min="18" max="18" width="8.125" style="0" customWidth="1"/>
    <col min="19" max="19" width="7.875" style="337" customWidth="1"/>
    <col min="20" max="20" width="8.125" style="0" customWidth="1"/>
    <col min="21" max="21" width="7.50390625" style="0" customWidth="1"/>
    <col min="22" max="22" width="8.50390625" style="0" customWidth="1"/>
    <col min="23" max="23" width="11.00390625" style="4" customWidth="1"/>
    <col min="24" max="24" width="9.875" style="0" customWidth="1"/>
    <col min="26" max="26" width="11.50390625" style="0" customWidth="1"/>
  </cols>
  <sheetData>
    <row r="1" spans="1:23" ht="10.5" customHeight="1">
      <c r="A1" s="482" t="s">
        <v>227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</row>
    <row r="2" spans="1:23" ht="32.25" customHeigh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</row>
    <row r="3" spans="1:23" ht="19.5" customHeight="1">
      <c r="A3" s="493" t="s">
        <v>228</v>
      </c>
      <c r="B3" s="481"/>
      <c r="C3" s="481"/>
      <c r="D3" s="481"/>
      <c r="E3" s="481" t="s">
        <v>229</v>
      </c>
      <c r="F3" s="481"/>
      <c r="G3" s="481"/>
      <c r="H3" s="481"/>
      <c r="I3" s="481"/>
      <c r="J3" s="481"/>
      <c r="K3" s="481"/>
      <c r="L3" s="481"/>
      <c r="M3" s="524"/>
      <c r="N3" s="525"/>
      <c r="O3" s="525"/>
      <c r="P3" s="525"/>
      <c r="Q3" s="525"/>
      <c r="R3" s="525"/>
      <c r="S3" s="525"/>
      <c r="T3" s="525"/>
      <c r="U3" s="525"/>
      <c r="V3" s="526"/>
      <c r="W3" s="527" t="s">
        <v>136</v>
      </c>
    </row>
    <row r="4" spans="1:23" ht="17.25" customHeight="1">
      <c r="A4" s="478" t="s">
        <v>0</v>
      </c>
      <c r="B4" s="478" t="s">
        <v>1</v>
      </c>
      <c r="C4" s="478" t="s">
        <v>2</v>
      </c>
      <c r="D4" s="189" t="s">
        <v>198</v>
      </c>
      <c r="E4" s="189" t="s">
        <v>199</v>
      </c>
      <c r="F4" s="497" t="s">
        <v>239</v>
      </c>
      <c r="G4" s="498"/>
      <c r="H4" s="498"/>
      <c r="I4" s="499"/>
      <c r="J4" s="497" t="s">
        <v>200</v>
      </c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9"/>
      <c r="W4" s="527"/>
    </row>
    <row r="5" spans="1:23" ht="21.75" customHeight="1">
      <c r="A5" s="479"/>
      <c r="B5" s="479"/>
      <c r="C5" s="479"/>
      <c r="D5" s="190"/>
      <c r="E5" s="190"/>
      <c r="F5" s="528" t="s">
        <v>234</v>
      </c>
      <c r="G5" s="528" t="s">
        <v>107</v>
      </c>
      <c r="H5" s="528" t="s">
        <v>235</v>
      </c>
      <c r="I5" s="195" t="s">
        <v>235</v>
      </c>
      <c r="J5" s="476" t="s">
        <v>107</v>
      </c>
      <c r="K5" s="476"/>
      <c r="L5" s="192"/>
      <c r="M5" s="192"/>
      <c r="N5" s="192"/>
      <c r="O5" s="192"/>
      <c r="P5" s="497" t="s">
        <v>201</v>
      </c>
      <c r="Q5" s="498"/>
      <c r="R5" s="498"/>
      <c r="S5" s="498"/>
      <c r="T5" s="498"/>
      <c r="U5" s="498"/>
      <c r="V5" s="499"/>
      <c r="W5" s="527"/>
    </row>
    <row r="6" spans="1:23" ht="18" customHeight="1">
      <c r="A6" s="479"/>
      <c r="B6" s="479"/>
      <c r="C6" s="479"/>
      <c r="D6" s="190"/>
      <c r="E6" s="190"/>
      <c r="F6" s="529"/>
      <c r="G6" s="529"/>
      <c r="H6" s="529"/>
      <c r="I6" s="383"/>
      <c r="J6" s="476" t="s">
        <v>233</v>
      </c>
      <c r="K6" s="456" t="s">
        <v>105</v>
      </c>
      <c r="L6" s="193" t="s">
        <v>109</v>
      </c>
      <c r="M6" s="194"/>
      <c r="N6" s="195" t="s">
        <v>113</v>
      </c>
      <c r="O6" s="196" t="s">
        <v>114</v>
      </c>
      <c r="P6" s="497" t="s">
        <v>203</v>
      </c>
      <c r="Q6" s="499"/>
      <c r="R6" s="497" t="s">
        <v>204</v>
      </c>
      <c r="S6" s="498"/>
      <c r="T6" s="498"/>
      <c r="U6" s="498"/>
      <c r="V6" s="499"/>
      <c r="W6" s="527"/>
    </row>
    <row r="7" spans="1:23" ht="48" customHeight="1">
      <c r="A7" s="480"/>
      <c r="B7" s="480"/>
      <c r="C7" s="480"/>
      <c r="D7" s="191"/>
      <c r="E7" s="191"/>
      <c r="F7" s="530"/>
      <c r="G7" s="530"/>
      <c r="H7" s="530"/>
      <c r="I7" s="384"/>
      <c r="J7" s="476"/>
      <c r="K7" s="456"/>
      <c r="L7" s="192" t="s">
        <v>104</v>
      </c>
      <c r="M7" s="57" t="s">
        <v>105</v>
      </c>
      <c r="N7" s="197"/>
      <c r="O7" s="191"/>
      <c r="P7" s="192" t="s">
        <v>202</v>
      </c>
      <c r="Q7" s="57" t="s">
        <v>205</v>
      </c>
      <c r="R7" s="192" t="s">
        <v>202</v>
      </c>
      <c r="S7" s="57" t="s">
        <v>206</v>
      </c>
      <c r="T7" s="189" t="s">
        <v>205</v>
      </c>
      <c r="U7" s="198" t="s">
        <v>207</v>
      </c>
      <c r="V7" s="189" t="s">
        <v>114</v>
      </c>
      <c r="W7" s="527"/>
    </row>
    <row r="8" spans="1:23" s="201" customFormat="1" ht="11.2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4</v>
      </c>
      <c r="G8" s="48">
        <v>5</v>
      </c>
      <c r="H8" s="56">
        <v>6</v>
      </c>
      <c r="I8" s="56"/>
      <c r="J8" s="56">
        <v>7</v>
      </c>
      <c r="K8" s="48">
        <v>8</v>
      </c>
      <c r="L8" s="56">
        <v>7</v>
      </c>
      <c r="M8" s="48">
        <v>8</v>
      </c>
      <c r="N8" s="56">
        <v>9</v>
      </c>
      <c r="O8" s="48">
        <v>10</v>
      </c>
      <c r="P8" s="199">
        <v>9</v>
      </c>
      <c r="Q8" s="48">
        <v>10</v>
      </c>
      <c r="R8" s="56">
        <v>11</v>
      </c>
      <c r="S8" s="48">
        <v>12</v>
      </c>
      <c r="T8" s="56">
        <v>13</v>
      </c>
      <c r="U8" s="48">
        <v>14</v>
      </c>
      <c r="V8" s="199">
        <v>15</v>
      </c>
      <c r="W8" s="58">
        <v>16</v>
      </c>
    </row>
    <row r="9" spans="1:26" ht="16.5" customHeight="1">
      <c r="A9" s="51">
        <v>1</v>
      </c>
      <c r="B9" s="39" t="s">
        <v>3</v>
      </c>
      <c r="C9" s="52" t="s">
        <v>4</v>
      </c>
      <c r="D9" s="202">
        <f>D10+D11+D12+D13+D14+D15+D16+D17</f>
        <v>0</v>
      </c>
      <c r="E9" s="203">
        <f>E10+E11+E12+E13+E14+E15+E16+E17</f>
        <v>0</v>
      </c>
      <c r="F9" s="202">
        <v>194171</v>
      </c>
      <c r="G9" s="227">
        <v>16332</v>
      </c>
      <c r="H9" s="113">
        <f>H10</f>
        <v>12762.88</v>
      </c>
      <c r="I9" s="113">
        <v>16332</v>
      </c>
      <c r="J9" s="227">
        <v>16332</v>
      </c>
      <c r="K9" s="89">
        <f aca="true" t="shared" si="0" ref="K9:K24">J9/(H9+1E-133)*100-100</f>
        <v>27.96</v>
      </c>
      <c r="L9" s="204">
        <f>L10+L11+L12+L13+L14+L15+L16+L17</f>
        <v>0</v>
      </c>
      <c r="M9" s="88">
        <f aca="true" t="shared" si="1" ref="M9:M18">L9/(H9+1E-106)*100-100</f>
        <v>-100</v>
      </c>
      <c r="N9" s="89">
        <f aca="true" t="shared" si="2" ref="N9:N18">L9-J9</f>
        <v>-16332</v>
      </c>
      <c r="O9" s="86"/>
      <c r="P9" s="204">
        <f>H9</f>
        <v>12762.88</v>
      </c>
      <c r="Q9" s="205">
        <f aca="true" t="shared" si="3" ref="Q9:Q24">P9/(H9+1E-106)*100-100</f>
        <v>0</v>
      </c>
      <c r="R9" s="204">
        <f>P9</f>
        <v>12762.88</v>
      </c>
      <c r="S9" s="206">
        <f>R9/(P9+1E-106)*100-100</f>
        <v>0</v>
      </c>
      <c r="T9" s="206">
        <f aca="true" t="shared" si="4" ref="T9:T24">R9/(H9+1E-106)*100-100</f>
        <v>0</v>
      </c>
      <c r="U9" s="207">
        <f aca="true" t="shared" si="5" ref="U9:U72">R9-J9</f>
        <v>-3569.1</v>
      </c>
      <c r="V9" s="206"/>
      <c r="W9" s="468" t="s">
        <v>208</v>
      </c>
      <c r="X9" s="3"/>
      <c r="Y9" s="3"/>
      <c r="Z9" s="8"/>
    </row>
    <row r="10" spans="1:26" ht="12.75" customHeight="1">
      <c r="A10" s="1"/>
      <c r="B10" s="40" t="s">
        <v>193</v>
      </c>
      <c r="C10" s="31" t="s">
        <v>4</v>
      </c>
      <c r="D10" s="208"/>
      <c r="E10" s="209"/>
      <c r="F10" s="359">
        <v>186668</v>
      </c>
      <c r="G10" s="385">
        <v>16332</v>
      </c>
      <c r="H10" s="100">
        <f>H18+H21</f>
        <v>12762.88</v>
      </c>
      <c r="I10" s="100">
        <v>16332</v>
      </c>
      <c r="J10" s="385">
        <v>16332</v>
      </c>
      <c r="K10" s="91">
        <f t="shared" si="0"/>
        <v>27.96</v>
      </c>
      <c r="L10" s="210"/>
      <c r="M10" s="90">
        <f t="shared" si="1"/>
        <v>-100</v>
      </c>
      <c r="N10" s="91">
        <f t="shared" si="2"/>
        <v>-16332</v>
      </c>
      <c r="O10" s="92"/>
      <c r="P10" s="210">
        <f>P9</f>
        <v>12762.88</v>
      </c>
      <c r="Q10" s="211">
        <f t="shared" si="3"/>
        <v>0</v>
      </c>
      <c r="R10" s="210">
        <f>P10</f>
        <v>12762.88</v>
      </c>
      <c r="S10" s="212">
        <f aca="true" t="shared" si="6" ref="S10:S73">R10/(P10+1E-106)*100-100</f>
        <v>0</v>
      </c>
      <c r="T10" s="212">
        <f t="shared" si="4"/>
        <v>0</v>
      </c>
      <c r="U10" s="211">
        <f t="shared" si="5"/>
        <v>-3569.1</v>
      </c>
      <c r="V10" s="211"/>
      <c r="W10" s="468"/>
      <c r="X10" s="3"/>
      <c r="Y10" s="3"/>
      <c r="Z10" s="8"/>
    </row>
    <row r="11" spans="1:26" ht="12.75" customHeight="1" hidden="1">
      <c r="A11" s="1"/>
      <c r="B11" s="40" t="s">
        <v>87</v>
      </c>
      <c r="C11" s="31" t="s">
        <v>4</v>
      </c>
      <c r="D11" s="208"/>
      <c r="E11" s="209"/>
      <c r="F11" s="359">
        <v>7114</v>
      </c>
      <c r="G11" s="385"/>
      <c r="H11" s="98"/>
      <c r="I11" s="98"/>
      <c r="J11" s="385"/>
      <c r="K11" s="91">
        <f t="shared" si="0"/>
        <v>-100</v>
      </c>
      <c r="L11" s="213"/>
      <c r="M11" s="90">
        <f t="shared" si="1"/>
        <v>-100</v>
      </c>
      <c r="N11" s="91">
        <f t="shared" si="2"/>
        <v>0</v>
      </c>
      <c r="O11" s="92"/>
      <c r="P11" s="213"/>
      <c r="Q11" s="211">
        <f t="shared" si="3"/>
        <v>-100</v>
      </c>
      <c r="R11" s="213"/>
      <c r="S11" s="212">
        <f t="shared" si="6"/>
        <v>-100</v>
      </c>
      <c r="T11" s="212">
        <f t="shared" si="4"/>
        <v>-100</v>
      </c>
      <c r="U11" s="211">
        <f t="shared" si="5"/>
        <v>0</v>
      </c>
      <c r="V11" s="211"/>
      <c r="W11" s="468"/>
      <c r="X11" s="3"/>
      <c r="Y11" s="3"/>
      <c r="Z11" s="8"/>
    </row>
    <row r="12" spans="1:26" ht="12.75" customHeight="1" hidden="1">
      <c r="A12" s="1"/>
      <c r="B12" s="40" t="s">
        <v>88</v>
      </c>
      <c r="C12" s="31" t="s">
        <v>4</v>
      </c>
      <c r="D12" s="208"/>
      <c r="E12" s="209"/>
      <c r="F12" s="359"/>
      <c r="G12" s="385"/>
      <c r="H12" s="98"/>
      <c r="I12" s="98"/>
      <c r="J12" s="385"/>
      <c r="K12" s="91">
        <f t="shared" si="0"/>
        <v>-100</v>
      </c>
      <c r="L12" s="213"/>
      <c r="M12" s="90">
        <f t="shared" si="1"/>
        <v>-100</v>
      </c>
      <c r="N12" s="91">
        <f t="shared" si="2"/>
        <v>0</v>
      </c>
      <c r="O12" s="92"/>
      <c r="P12" s="213">
        <f>J12</f>
        <v>0</v>
      </c>
      <c r="Q12" s="211">
        <f t="shared" si="3"/>
        <v>-100</v>
      </c>
      <c r="R12" s="213">
        <f>P12</f>
        <v>0</v>
      </c>
      <c r="S12" s="212">
        <f t="shared" si="6"/>
        <v>-100</v>
      </c>
      <c r="T12" s="212">
        <f t="shared" si="4"/>
        <v>-100</v>
      </c>
      <c r="U12" s="211">
        <f t="shared" si="5"/>
        <v>0</v>
      </c>
      <c r="V12" s="211"/>
      <c r="W12" s="453" t="s">
        <v>209</v>
      </c>
      <c r="X12" s="3"/>
      <c r="Y12" s="3"/>
      <c r="Z12" s="8"/>
    </row>
    <row r="13" spans="1:26" ht="12.75" customHeight="1" hidden="1">
      <c r="A13" s="1"/>
      <c r="B13" s="40" t="s">
        <v>89</v>
      </c>
      <c r="C13" s="31" t="s">
        <v>4</v>
      </c>
      <c r="D13" s="214"/>
      <c r="E13" s="215"/>
      <c r="F13" s="214">
        <v>389</v>
      </c>
      <c r="G13" s="386"/>
      <c r="H13" s="98"/>
      <c r="I13" s="98"/>
      <c r="J13" s="386"/>
      <c r="K13" s="91">
        <f t="shared" si="0"/>
        <v>-100</v>
      </c>
      <c r="L13" s="213"/>
      <c r="M13" s="90">
        <f t="shared" si="1"/>
        <v>-100</v>
      </c>
      <c r="N13" s="91">
        <f t="shared" si="2"/>
        <v>0</v>
      </c>
      <c r="O13" s="92"/>
      <c r="P13" s="213"/>
      <c r="Q13" s="211">
        <f t="shared" si="3"/>
        <v>-100</v>
      </c>
      <c r="R13" s="213"/>
      <c r="S13" s="212">
        <f t="shared" si="6"/>
        <v>-100</v>
      </c>
      <c r="T13" s="212">
        <f t="shared" si="4"/>
        <v>-100</v>
      </c>
      <c r="U13" s="211">
        <f t="shared" si="5"/>
        <v>0</v>
      </c>
      <c r="V13" s="211"/>
      <c r="W13" s="455"/>
      <c r="X13" s="3"/>
      <c r="Y13" s="3"/>
      <c r="Z13" s="8"/>
    </row>
    <row r="14" spans="1:26" ht="12.75" customHeight="1" hidden="1">
      <c r="A14" s="1"/>
      <c r="B14" s="40" t="s">
        <v>90</v>
      </c>
      <c r="C14" s="31" t="s">
        <v>4</v>
      </c>
      <c r="D14" s="214"/>
      <c r="E14" s="215"/>
      <c r="F14" s="214"/>
      <c r="G14" s="386"/>
      <c r="H14" s="98"/>
      <c r="I14" s="98"/>
      <c r="J14" s="386"/>
      <c r="K14" s="91">
        <f t="shared" si="0"/>
        <v>-100</v>
      </c>
      <c r="L14" s="213"/>
      <c r="M14" s="90">
        <f t="shared" si="1"/>
        <v>-100</v>
      </c>
      <c r="N14" s="91">
        <f t="shared" si="2"/>
        <v>0</v>
      </c>
      <c r="O14" s="92"/>
      <c r="P14" s="213"/>
      <c r="Q14" s="211">
        <f t="shared" si="3"/>
        <v>-100</v>
      </c>
      <c r="R14" s="213"/>
      <c r="S14" s="212">
        <f t="shared" si="6"/>
        <v>-100</v>
      </c>
      <c r="T14" s="212">
        <f t="shared" si="4"/>
        <v>-100</v>
      </c>
      <c r="U14" s="211">
        <f t="shared" si="5"/>
        <v>0</v>
      </c>
      <c r="V14" s="211"/>
      <c r="W14" s="216"/>
      <c r="X14" s="3"/>
      <c r="Y14" s="3"/>
      <c r="Z14" s="8"/>
    </row>
    <row r="15" spans="1:26" ht="12.75" customHeight="1" hidden="1">
      <c r="A15" s="1"/>
      <c r="B15" s="40" t="s">
        <v>91</v>
      </c>
      <c r="C15" s="31" t="s">
        <v>4</v>
      </c>
      <c r="D15" s="214"/>
      <c r="E15" s="215"/>
      <c r="F15" s="214"/>
      <c r="G15" s="386"/>
      <c r="H15" s="98"/>
      <c r="I15" s="98"/>
      <c r="J15" s="386"/>
      <c r="K15" s="91">
        <f t="shared" si="0"/>
        <v>-100</v>
      </c>
      <c r="L15" s="213"/>
      <c r="M15" s="90">
        <f t="shared" si="1"/>
        <v>-100</v>
      </c>
      <c r="N15" s="91">
        <f t="shared" si="2"/>
        <v>0</v>
      </c>
      <c r="O15" s="92"/>
      <c r="P15" s="213"/>
      <c r="Q15" s="211">
        <f t="shared" si="3"/>
        <v>-100</v>
      </c>
      <c r="R15" s="213"/>
      <c r="S15" s="212">
        <f t="shared" si="6"/>
        <v>-100</v>
      </c>
      <c r="T15" s="212">
        <f t="shared" si="4"/>
        <v>-100</v>
      </c>
      <c r="U15" s="211">
        <f t="shared" si="5"/>
        <v>0</v>
      </c>
      <c r="V15" s="211"/>
      <c r="W15" s="216"/>
      <c r="X15" s="3"/>
      <c r="Y15" s="3"/>
      <c r="Z15" s="8"/>
    </row>
    <row r="16" spans="1:26" ht="12.75" customHeight="1" hidden="1">
      <c r="A16" s="1"/>
      <c r="B16" s="40" t="s">
        <v>92</v>
      </c>
      <c r="C16" s="31" t="s">
        <v>4</v>
      </c>
      <c r="D16" s="214"/>
      <c r="E16" s="215"/>
      <c r="F16" s="214"/>
      <c r="G16" s="386"/>
      <c r="H16" s="98"/>
      <c r="I16" s="98"/>
      <c r="J16" s="386"/>
      <c r="K16" s="91">
        <f t="shared" si="0"/>
        <v>-100</v>
      </c>
      <c r="L16" s="213"/>
      <c r="M16" s="90">
        <f t="shared" si="1"/>
        <v>-100</v>
      </c>
      <c r="N16" s="91">
        <f t="shared" si="2"/>
        <v>0</v>
      </c>
      <c r="O16" s="92"/>
      <c r="P16" s="213"/>
      <c r="Q16" s="211">
        <f t="shared" si="3"/>
        <v>-100</v>
      </c>
      <c r="R16" s="213"/>
      <c r="S16" s="212">
        <f t="shared" si="6"/>
        <v>-100</v>
      </c>
      <c r="T16" s="212">
        <f t="shared" si="4"/>
        <v>-100</v>
      </c>
      <c r="U16" s="211">
        <f t="shared" si="5"/>
        <v>0</v>
      </c>
      <c r="V16" s="211"/>
      <c r="W16" s="216"/>
      <c r="X16" s="3"/>
      <c r="Y16" s="3"/>
      <c r="Z16" s="8"/>
    </row>
    <row r="17" spans="1:26" ht="12.75" customHeight="1" hidden="1">
      <c r="A17" s="1"/>
      <c r="B17" s="40" t="s">
        <v>102</v>
      </c>
      <c r="C17" s="31" t="s">
        <v>4</v>
      </c>
      <c r="D17" s="214"/>
      <c r="E17" s="215"/>
      <c r="F17" s="214"/>
      <c r="G17" s="386"/>
      <c r="H17" s="98"/>
      <c r="I17" s="98"/>
      <c r="J17" s="386"/>
      <c r="K17" s="91">
        <f t="shared" si="0"/>
        <v>-100</v>
      </c>
      <c r="L17" s="213"/>
      <c r="M17" s="90">
        <f t="shared" si="1"/>
        <v>-100</v>
      </c>
      <c r="N17" s="91">
        <f t="shared" si="2"/>
        <v>0</v>
      </c>
      <c r="O17" s="92"/>
      <c r="P17" s="213"/>
      <c r="Q17" s="211">
        <f t="shared" si="3"/>
        <v>-100</v>
      </c>
      <c r="R17" s="213"/>
      <c r="S17" s="212">
        <f t="shared" si="6"/>
        <v>-100</v>
      </c>
      <c r="T17" s="212">
        <f t="shared" si="4"/>
        <v>-100</v>
      </c>
      <c r="U17" s="211">
        <f t="shared" si="5"/>
        <v>0</v>
      </c>
      <c r="V17" s="211"/>
      <c r="W17" s="216"/>
      <c r="X17" s="3"/>
      <c r="Y17" s="3"/>
      <c r="Z17" s="8"/>
    </row>
    <row r="18" spans="1:26" ht="12.75" customHeight="1">
      <c r="A18" s="51">
        <v>2</v>
      </c>
      <c r="B18" s="40" t="s">
        <v>26</v>
      </c>
      <c r="C18" s="31" t="s">
        <v>4</v>
      </c>
      <c r="D18" s="208"/>
      <c r="E18" s="215"/>
      <c r="F18" s="214">
        <v>5993.8</v>
      </c>
      <c r="G18" s="386">
        <v>506.4</v>
      </c>
      <c r="H18" s="100">
        <v>383.36</v>
      </c>
      <c r="I18" s="100">
        <v>506.4</v>
      </c>
      <c r="J18" s="386">
        <v>506.4</v>
      </c>
      <c r="K18" s="91">
        <f t="shared" si="0"/>
        <v>32.1</v>
      </c>
      <c r="L18" s="210"/>
      <c r="M18" s="90">
        <f t="shared" si="1"/>
        <v>-100</v>
      </c>
      <c r="N18" s="91">
        <f t="shared" si="2"/>
        <v>-506.4</v>
      </c>
      <c r="O18" s="92"/>
      <c r="P18" s="210">
        <f>P10-P21</f>
        <v>383.36</v>
      </c>
      <c r="Q18" s="211">
        <f t="shared" si="3"/>
        <v>0</v>
      </c>
      <c r="R18" s="210">
        <f>H18</f>
        <v>383.36</v>
      </c>
      <c r="S18" s="212">
        <f t="shared" si="6"/>
        <v>0</v>
      </c>
      <c r="T18" s="212">
        <f t="shared" si="4"/>
        <v>0</v>
      </c>
      <c r="U18" s="211">
        <f t="shared" si="5"/>
        <v>-123</v>
      </c>
      <c r="V18" s="211"/>
      <c r="W18" s="216"/>
      <c r="X18" s="3"/>
      <c r="Y18" s="3"/>
      <c r="Z18" s="8"/>
    </row>
    <row r="19" spans="1:26" ht="12.75" customHeight="1">
      <c r="A19" s="1"/>
      <c r="B19" s="40" t="s">
        <v>26</v>
      </c>
      <c r="C19" s="31" t="s">
        <v>5</v>
      </c>
      <c r="D19" s="217">
        <f>D18/(D9+1E-124)*100</f>
        <v>0</v>
      </c>
      <c r="E19" s="218">
        <f>E18/(E9+1E-124)*100</f>
        <v>0</v>
      </c>
      <c r="F19" s="217">
        <v>3.1</v>
      </c>
      <c r="G19" s="218">
        <v>3.1</v>
      </c>
      <c r="H19" s="220">
        <f>H18/(H9+1E-124)*100</f>
        <v>3</v>
      </c>
      <c r="I19" s="220">
        <f>I18/(I9+1E-124)*100</f>
        <v>3.1</v>
      </c>
      <c r="J19" s="218">
        <v>3.1</v>
      </c>
      <c r="K19" s="91">
        <f t="shared" si="0"/>
        <v>3.33</v>
      </c>
      <c r="L19" s="220">
        <f>L18/(L9+1E-124)*100</f>
        <v>0</v>
      </c>
      <c r="M19" s="90"/>
      <c r="N19" s="91"/>
      <c r="O19" s="92"/>
      <c r="P19" s="220">
        <f>P18/(P9+1E-124)*100</f>
        <v>3</v>
      </c>
      <c r="Q19" s="211">
        <f t="shared" si="3"/>
        <v>0</v>
      </c>
      <c r="R19" s="220">
        <f>R18/(R9+1E-124)*100</f>
        <v>3</v>
      </c>
      <c r="S19" s="212">
        <f t="shared" si="6"/>
        <v>0</v>
      </c>
      <c r="T19" s="212">
        <f t="shared" si="4"/>
        <v>0</v>
      </c>
      <c r="U19" s="211">
        <f t="shared" si="5"/>
        <v>-0.1</v>
      </c>
      <c r="V19" s="211"/>
      <c r="W19" s="216"/>
      <c r="Y19" s="7"/>
      <c r="Z19" s="9"/>
    </row>
    <row r="20" spans="1:26" ht="25.5" customHeight="1" hidden="1">
      <c r="A20" s="51">
        <v>3</v>
      </c>
      <c r="B20" s="39" t="s">
        <v>112</v>
      </c>
      <c r="C20" s="52" t="s">
        <v>4</v>
      </c>
      <c r="D20" s="221"/>
      <c r="E20" s="222"/>
      <c r="F20" s="221"/>
      <c r="G20" s="222"/>
      <c r="H20" s="145"/>
      <c r="I20" s="145"/>
      <c r="J20" s="222"/>
      <c r="K20" s="89">
        <f t="shared" si="0"/>
        <v>-100</v>
      </c>
      <c r="L20" s="223"/>
      <c r="M20" s="88">
        <f>L20/(H20+1E-106)*100-100</f>
        <v>-100</v>
      </c>
      <c r="N20" s="89">
        <f>L20-J20</f>
        <v>0</v>
      </c>
      <c r="O20" s="86"/>
      <c r="P20" s="223"/>
      <c r="Q20" s="211">
        <f t="shared" si="3"/>
        <v>-100</v>
      </c>
      <c r="R20" s="223"/>
      <c r="S20" s="206">
        <f t="shared" si="6"/>
        <v>-100</v>
      </c>
      <c r="T20" s="206">
        <f t="shared" si="4"/>
        <v>-100</v>
      </c>
      <c r="U20" s="207">
        <f t="shared" si="5"/>
        <v>0</v>
      </c>
      <c r="V20" s="211"/>
      <c r="W20" s="216"/>
      <c r="Y20" s="7"/>
      <c r="Z20" s="9"/>
    </row>
    <row r="21" spans="1:26" ht="12.75" customHeight="1">
      <c r="A21" s="51">
        <v>4</v>
      </c>
      <c r="B21" s="39" t="s">
        <v>31</v>
      </c>
      <c r="C21" s="52" t="s">
        <v>4</v>
      </c>
      <c r="D21" s="202">
        <f>D9-D18+D20</f>
        <v>0</v>
      </c>
      <c r="E21" s="203">
        <f>E9-E18+E20</f>
        <v>0</v>
      </c>
      <c r="F21" s="202">
        <v>188177.2</v>
      </c>
      <c r="G21" s="227">
        <v>15825.6</v>
      </c>
      <c r="H21" s="145">
        <f>H22+H24</f>
        <v>12379.52</v>
      </c>
      <c r="I21" s="145">
        <v>15825.6</v>
      </c>
      <c r="J21" s="227">
        <v>15825.6</v>
      </c>
      <c r="K21" s="89">
        <f t="shared" si="0"/>
        <v>27.84</v>
      </c>
      <c r="L21" s="204">
        <f>L9-L18+L20</f>
        <v>0</v>
      </c>
      <c r="M21" s="88">
        <f>L21/(H21+1E-106)*100-100</f>
        <v>-100</v>
      </c>
      <c r="N21" s="89">
        <f>L21-J21</f>
        <v>-15825.6</v>
      </c>
      <c r="O21" s="86"/>
      <c r="P21" s="204">
        <f>P22+P24</f>
        <v>12379.52</v>
      </c>
      <c r="Q21" s="211">
        <f t="shared" si="3"/>
        <v>0</v>
      </c>
      <c r="R21" s="204">
        <f>R9-R18+R20</f>
        <v>12379.52</v>
      </c>
      <c r="S21" s="206">
        <f t="shared" si="6"/>
        <v>0</v>
      </c>
      <c r="T21" s="206">
        <f t="shared" si="4"/>
        <v>0</v>
      </c>
      <c r="U21" s="207">
        <f t="shared" si="5"/>
        <v>-3446.1</v>
      </c>
      <c r="V21" s="206"/>
      <c r="W21" s="453" t="s">
        <v>232</v>
      </c>
      <c r="X21" s="224"/>
      <c r="Y21" s="7"/>
      <c r="Z21" s="9"/>
    </row>
    <row r="22" spans="1:26" ht="12.75" customHeight="1">
      <c r="A22" s="51">
        <v>5</v>
      </c>
      <c r="B22" s="40" t="s">
        <v>32</v>
      </c>
      <c r="C22" s="31" t="s">
        <v>4</v>
      </c>
      <c r="D22" s="217">
        <f>D21-D24</f>
        <v>0</v>
      </c>
      <c r="E22" s="225">
        <f>E21-E24</f>
        <v>-11804.5</v>
      </c>
      <c r="F22" s="217">
        <v>18377.62</v>
      </c>
      <c r="G22" s="218">
        <v>4021.5</v>
      </c>
      <c r="H22" s="100">
        <v>1213.23</v>
      </c>
      <c r="I22" s="100">
        <v>4021.5</v>
      </c>
      <c r="J22" s="218">
        <v>4021.5</v>
      </c>
      <c r="K22" s="91">
        <f t="shared" si="0"/>
        <v>231.47</v>
      </c>
      <c r="L22" s="210">
        <v>0</v>
      </c>
      <c r="M22" s="90">
        <f>L22/(H22+1E-106)*100-100</f>
        <v>-100</v>
      </c>
      <c r="N22" s="91">
        <f>L22-J22</f>
        <v>-4021.5</v>
      </c>
      <c r="O22" s="92"/>
      <c r="P22" s="210">
        <f>H22</f>
        <v>1213.23</v>
      </c>
      <c r="Q22" s="211">
        <f t="shared" si="3"/>
        <v>0</v>
      </c>
      <c r="R22" s="210">
        <f>P22</f>
        <v>1213.23</v>
      </c>
      <c r="S22" s="212">
        <f t="shared" si="6"/>
        <v>0</v>
      </c>
      <c r="T22" s="212">
        <f t="shared" si="4"/>
        <v>0</v>
      </c>
      <c r="U22" s="211">
        <f t="shared" si="5"/>
        <v>-2808.3</v>
      </c>
      <c r="V22" s="211"/>
      <c r="W22" s="454"/>
      <c r="Y22" s="7"/>
      <c r="Z22" s="9"/>
    </row>
    <row r="23" spans="1:26" ht="12.75" customHeight="1">
      <c r="A23" s="1"/>
      <c r="B23" s="40" t="s">
        <v>32</v>
      </c>
      <c r="C23" s="31" t="s">
        <v>5</v>
      </c>
      <c r="D23" s="217">
        <f>D22/(D21+1E-144)*100</f>
        <v>0</v>
      </c>
      <c r="E23" s="218">
        <f>E22/(E21+1E-144)*100</f>
        <v>-1.18045E+150</v>
      </c>
      <c r="F23" s="217">
        <v>9.8</v>
      </c>
      <c r="G23" s="218">
        <v>25.4</v>
      </c>
      <c r="H23" s="220">
        <f>H22/(H21+1E-144)*100</f>
        <v>9.8</v>
      </c>
      <c r="I23" s="220">
        <v>25.4</v>
      </c>
      <c r="J23" s="218">
        <v>25.4</v>
      </c>
      <c r="K23" s="91">
        <f t="shared" si="0"/>
        <v>159.18</v>
      </c>
      <c r="L23" s="220"/>
      <c r="M23" s="90"/>
      <c r="N23" s="91"/>
      <c r="O23" s="92"/>
      <c r="P23" s="220">
        <f>P22/(P21+1E-144)*100</f>
        <v>9.8</v>
      </c>
      <c r="Q23" s="211">
        <f t="shared" si="3"/>
        <v>0</v>
      </c>
      <c r="R23" s="220">
        <f>R22/(R21+1E-144)*100</f>
        <v>9.8</v>
      </c>
      <c r="S23" s="212">
        <f t="shared" si="6"/>
        <v>0</v>
      </c>
      <c r="T23" s="212">
        <f t="shared" si="4"/>
        <v>0</v>
      </c>
      <c r="U23" s="211">
        <f t="shared" si="5"/>
        <v>-15.6</v>
      </c>
      <c r="V23" s="211"/>
      <c r="W23" s="454"/>
      <c r="Y23" s="7"/>
      <c r="Z23" s="9"/>
    </row>
    <row r="24" spans="1:26" ht="16.5" customHeight="1">
      <c r="A24" s="51">
        <v>6</v>
      </c>
      <c r="B24" s="39" t="s">
        <v>6</v>
      </c>
      <c r="C24" s="52" t="s">
        <v>4</v>
      </c>
      <c r="D24" s="221"/>
      <c r="E24" s="227">
        <f>C217</f>
        <v>11804.5</v>
      </c>
      <c r="F24" s="202">
        <v>169799.6</v>
      </c>
      <c r="G24" s="255">
        <v>11166.29</v>
      </c>
      <c r="H24" s="146">
        <f>I24</f>
        <v>11166.29</v>
      </c>
      <c r="I24" s="146">
        <v>11166.29</v>
      </c>
      <c r="J24" s="255">
        <v>11166.29</v>
      </c>
      <c r="K24" s="89">
        <f t="shared" si="0"/>
        <v>0</v>
      </c>
      <c r="L24" s="228" t="e">
        <f>#REF!</f>
        <v>#REF!</v>
      </c>
      <c r="M24" s="88" t="e">
        <f>L24/(H24+1E-106)*100-100</f>
        <v>#REF!</v>
      </c>
      <c r="N24" s="89" t="e">
        <f>L24-J24</f>
        <v>#REF!</v>
      </c>
      <c r="O24" s="86"/>
      <c r="P24" s="229">
        <f>H24</f>
        <v>11166.29</v>
      </c>
      <c r="Q24" s="205">
        <f t="shared" si="3"/>
        <v>0</v>
      </c>
      <c r="R24" s="229">
        <f>P24</f>
        <v>11166.29</v>
      </c>
      <c r="S24" s="206">
        <f t="shared" si="6"/>
        <v>0</v>
      </c>
      <c r="T24" s="206">
        <f t="shared" si="4"/>
        <v>0</v>
      </c>
      <c r="U24" s="207">
        <f t="shared" si="5"/>
        <v>0</v>
      </c>
      <c r="V24" s="206"/>
      <c r="W24" s="454"/>
      <c r="Y24" s="7"/>
      <c r="Z24" s="9"/>
    </row>
    <row r="25" spans="1:26" ht="12" customHeight="1">
      <c r="A25" s="51">
        <v>7</v>
      </c>
      <c r="B25" s="39" t="s">
        <v>7</v>
      </c>
      <c r="C25" s="31"/>
      <c r="D25" s="230"/>
      <c r="E25" s="231"/>
      <c r="F25" s="230"/>
      <c r="G25" s="231"/>
      <c r="H25" s="97"/>
      <c r="I25" s="97"/>
      <c r="J25" s="233"/>
      <c r="K25" s="90"/>
      <c r="L25" s="232"/>
      <c r="M25" s="90"/>
      <c r="N25" s="91"/>
      <c r="O25" s="92"/>
      <c r="P25" s="234"/>
      <c r="Q25" s="211"/>
      <c r="R25" s="234"/>
      <c r="S25" s="206"/>
      <c r="T25" s="206"/>
      <c r="U25" s="207"/>
      <c r="V25" s="211"/>
      <c r="W25" s="216"/>
      <c r="Y25" s="7"/>
      <c r="Z25" s="9"/>
    </row>
    <row r="26" spans="1:26" ht="12" customHeight="1">
      <c r="A26" s="1" t="s">
        <v>62</v>
      </c>
      <c r="B26" s="39" t="s">
        <v>76</v>
      </c>
      <c r="C26" s="31"/>
      <c r="D26" s="230"/>
      <c r="E26" s="231"/>
      <c r="F26" s="230"/>
      <c r="G26" s="231"/>
      <c r="H26" s="97"/>
      <c r="I26" s="97"/>
      <c r="J26" s="233"/>
      <c r="K26" s="90"/>
      <c r="L26" s="232"/>
      <c r="M26" s="90"/>
      <c r="N26" s="91"/>
      <c r="O26" s="92"/>
      <c r="P26" s="235"/>
      <c r="Q26" s="211"/>
      <c r="R26" s="235"/>
      <c r="S26" s="206"/>
      <c r="T26" s="206"/>
      <c r="U26" s="207"/>
      <c r="V26" s="211"/>
      <c r="W26" s="216"/>
      <c r="Y26" s="7"/>
      <c r="Z26" s="9"/>
    </row>
    <row r="27" spans="1:26" ht="12" customHeight="1">
      <c r="A27" s="1"/>
      <c r="B27" s="41" t="s">
        <v>49</v>
      </c>
      <c r="C27" s="31" t="s">
        <v>73</v>
      </c>
      <c r="D27" s="213"/>
      <c r="E27" s="225">
        <f>E29*1000*E28/(E10+1E-94)</f>
        <v>0</v>
      </c>
      <c r="F27" s="217">
        <v>163.3</v>
      </c>
      <c r="G27" s="219">
        <v>160.38</v>
      </c>
      <c r="H27" s="100">
        <f>I27</f>
        <v>160.38</v>
      </c>
      <c r="I27" s="100">
        <f>I29*I28/I9*1000</f>
        <v>160.38</v>
      </c>
      <c r="J27" s="365">
        <f>G27</f>
        <v>160.38</v>
      </c>
      <c r="K27" s="236">
        <f>J27/(H27+1E-133)*100-100</f>
        <v>0</v>
      </c>
      <c r="L27" s="210"/>
      <c r="M27" s="236">
        <f>L27/(H27+1E-106)*100-100</f>
        <v>-100</v>
      </c>
      <c r="N27" s="236">
        <f>L27-J27</f>
        <v>-160.38</v>
      </c>
      <c r="O27" s="237"/>
      <c r="P27" s="238">
        <f>H27</f>
        <v>160.38</v>
      </c>
      <c r="Q27" s="239">
        <f>P27/(H27+1E-106)*100-100</f>
        <v>0</v>
      </c>
      <c r="R27" s="238">
        <f>P27</f>
        <v>160.38</v>
      </c>
      <c r="S27" s="239">
        <f t="shared" si="6"/>
        <v>0</v>
      </c>
      <c r="T27" s="239">
        <f>R27/(H27+1E-106)*100-100</f>
        <v>0</v>
      </c>
      <c r="U27" s="239">
        <f t="shared" si="5"/>
        <v>0</v>
      </c>
      <c r="V27" s="211"/>
      <c r="W27" s="216"/>
      <c r="Y27" s="7"/>
      <c r="Z27" s="9"/>
    </row>
    <row r="28" spans="1:26" ht="12" customHeight="1">
      <c r="A28" s="1"/>
      <c r="B28" s="41" t="s">
        <v>93</v>
      </c>
      <c r="C28" s="42"/>
      <c r="D28" s="240"/>
      <c r="E28" s="241"/>
      <c r="F28" s="240">
        <v>1.129</v>
      </c>
      <c r="G28" s="387">
        <v>1.129</v>
      </c>
      <c r="H28" s="104">
        <v>1.129</v>
      </c>
      <c r="I28" s="104">
        <v>1.129</v>
      </c>
      <c r="J28" s="367">
        <v>1.129</v>
      </c>
      <c r="K28" s="241">
        <f>J28/(H28+1E-133)*100-100</f>
        <v>0</v>
      </c>
      <c r="L28" s="242"/>
      <c r="M28" s="241"/>
      <c r="N28" s="241"/>
      <c r="O28" s="243"/>
      <c r="P28" s="244">
        <f>H28</f>
        <v>1.129</v>
      </c>
      <c r="Q28" s="245">
        <f>P28/(H28+1E-106)*100-100</f>
        <v>0</v>
      </c>
      <c r="R28" s="244">
        <f>P28</f>
        <v>1.129</v>
      </c>
      <c r="S28" s="239">
        <f t="shared" si="6"/>
        <v>0</v>
      </c>
      <c r="T28" s="239">
        <f>R28/(H28+1E-106)*100-100</f>
        <v>0</v>
      </c>
      <c r="U28" s="239">
        <f t="shared" si="5"/>
        <v>0</v>
      </c>
      <c r="V28" s="245"/>
      <c r="W28" s="246"/>
      <c r="Y28" s="7"/>
      <c r="Z28" s="9"/>
    </row>
    <row r="29" spans="1:26" ht="12" customHeight="1">
      <c r="A29" s="1"/>
      <c r="B29" s="40" t="s">
        <v>50</v>
      </c>
      <c r="C29" s="31" t="s">
        <v>80</v>
      </c>
      <c r="D29" s="217">
        <f>D27/(D28+1E-97)*D10/1000</f>
        <v>0</v>
      </c>
      <c r="E29" s="215"/>
      <c r="F29" s="214">
        <v>26999.9</v>
      </c>
      <c r="G29" s="386">
        <v>2320</v>
      </c>
      <c r="H29" s="238">
        <f>H27/(H28+1E-97)*H10/1000</f>
        <v>1813.03</v>
      </c>
      <c r="I29" s="238">
        <v>2320</v>
      </c>
      <c r="J29" s="368">
        <f>J27/(J28+1E-97)*J10/1000</f>
        <v>2320.04</v>
      </c>
      <c r="K29" s="236">
        <f>J29/(H29+1E-133)*100-100</f>
        <v>27.96</v>
      </c>
      <c r="L29" s="220">
        <f>L27/(L28+1E-97)*L10/1000</f>
        <v>0</v>
      </c>
      <c r="M29" s="236">
        <f>L29/(H29+1E-106)*100-100</f>
        <v>-100</v>
      </c>
      <c r="N29" s="236">
        <f>L29-J29</f>
        <v>-2320.04</v>
      </c>
      <c r="O29" s="237"/>
      <c r="P29" s="238">
        <f>P27/(P28+1E-97)*P10/1000</f>
        <v>1813.03</v>
      </c>
      <c r="Q29" s="239">
        <f>P29/(H29+1E-106)*100-100</f>
        <v>0</v>
      </c>
      <c r="R29" s="238">
        <f>R27/(R28+1E-97)*R10/1000</f>
        <v>1813.03</v>
      </c>
      <c r="S29" s="239">
        <f t="shared" si="6"/>
        <v>0</v>
      </c>
      <c r="T29" s="239">
        <f>R29/(H29+1E-106)*100-100</f>
        <v>0</v>
      </c>
      <c r="U29" s="239">
        <f t="shared" si="5"/>
        <v>-507.01</v>
      </c>
      <c r="V29" s="245"/>
      <c r="W29" s="522" t="s">
        <v>230</v>
      </c>
      <c r="Y29" s="7"/>
      <c r="Z29" s="9"/>
    </row>
    <row r="30" spans="1:26" s="250" customFormat="1" ht="12" customHeight="1">
      <c r="A30" s="51"/>
      <c r="B30" s="39" t="s">
        <v>30</v>
      </c>
      <c r="C30" s="52" t="s">
        <v>81</v>
      </c>
      <c r="D30" s="247"/>
      <c r="E30" s="248">
        <f>E133/(E29+1E-103)*1000</f>
        <v>0</v>
      </c>
      <c r="F30" s="204">
        <v>2999.62</v>
      </c>
      <c r="G30" s="255">
        <v>3074.47</v>
      </c>
      <c r="H30" s="126">
        <f>(386.97+2637+50.5)</f>
        <v>3074.47</v>
      </c>
      <c r="I30" s="126">
        <f>(386.97+2637+50.5)</f>
        <v>3074.47</v>
      </c>
      <c r="J30" s="144">
        <f>(386.97+2637+50.5)*1.15</f>
        <v>3535.64</v>
      </c>
      <c r="K30" s="249">
        <f>J30/(H30+1E-133)*100-100</f>
        <v>15</v>
      </c>
      <c r="L30" s="247"/>
      <c r="M30" s="249">
        <f>L30/(H30+1E-106)*100-100</f>
        <v>-100</v>
      </c>
      <c r="N30" s="249">
        <f>L30-J30</f>
        <v>-3535.64</v>
      </c>
      <c r="O30" s="248"/>
      <c r="P30" s="229">
        <v>3405.39</v>
      </c>
      <c r="Q30" s="205">
        <f>P30/(H30+1E-106)*100-100</f>
        <v>10.76</v>
      </c>
      <c r="R30" s="126">
        <f>(386.97+2637+50.5)*1.15</f>
        <v>3535.64</v>
      </c>
      <c r="S30" s="205">
        <f t="shared" si="6"/>
        <v>3.82</v>
      </c>
      <c r="T30" s="205">
        <f>R30/(H30+1E-106)*100-100</f>
        <v>15</v>
      </c>
      <c r="U30" s="205">
        <f t="shared" si="5"/>
        <v>0</v>
      </c>
      <c r="V30" s="207"/>
      <c r="W30" s="523"/>
      <c r="Z30" s="251"/>
    </row>
    <row r="31" spans="1:26" ht="12" customHeight="1">
      <c r="A31" s="1"/>
      <c r="B31" s="43" t="s">
        <v>77</v>
      </c>
      <c r="C31" s="31" t="s">
        <v>81</v>
      </c>
      <c r="D31" s="214"/>
      <c r="E31" s="215"/>
      <c r="F31" s="214">
        <v>321.9</v>
      </c>
      <c r="G31" s="386">
        <v>386.97</v>
      </c>
      <c r="H31" s="98">
        <f>(386.97)</f>
        <v>386.97</v>
      </c>
      <c r="I31" s="98">
        <f>H31</f>
        <v>386.97</v>
      </c>
      <c r="J31" s="252">
        <f>R31</f>
        <v>445.02</v>
      </c>
      <c r="K31" s="236">
        <f>J31/(H31+1E-133)*100-100</f>
        <v>15</v>
      </c>
      <c r="L31" s="213"/>
      <c r="M31" s="236">
        <f>L31/(H31+1E-106)*100-100</f>
        <v>-100</v>
      </c>
      <c r="N31" s="236">
        <f>L31-J31</f>
        <v>-445.02</v>
      </c>
      <c r="O31" s="237"/>
      <c r="P31" s="229">
        <f>386.97*1.15</f>
        <v>445.02</v>
      </c>
      <c r="Q31" s="239">
        <f>P31/(H31+1E-106)*100-100</f>
        <v>15</v>
      </c>
      <c r="R31" s="229">
        <f>P31</f>
        <v>445.02</v>
      </c>
      <c r="S31" s="239">
        <f t="shared" si="6"/>
        <v>0</v>
      </c>
      <c r="T31" s="239">
        <f>R31/(H31+1E-106)*100-100</f>
        <v>15</v>
      </c>
      <c r="U31" s="239">
        <f t="shared" si="5"/>
        <v>0</v>
      </c>
      <c r="V31" s="211"/>
      <c r="W31" s="253"/>
      <c r="Y31" s="7"/>
      <c r="Z31" s="9"/>
    </row>
    <row r="32" spans="1:26" ht="12" customHeight="1" hidden="1">
      <c r="A32" s="1" t="s">
        <v>62</v>
      </c>
      <c r="B32" s="39" t="s">
        <v>75</v>
      </c>
      <c r="C32" s="31"/>
      <c r="D32" s="217"/>
      <c r="E32" s="218"/>
      <c r="F32" s="217"/>
      <c r="G32" s="218"/>
      <c r="H32" s="94"/>
      <c r="I32" s="94"/>
      <c r="J32" s="226"/>
      <c r="K32" s="236"/>
      <c r="L32" s="220"/>
      <c r="M32" s="236"/>
      <c r="N32" s="236"/>
      <c r="O32" s="237"/>
      <c r="P32" s="238"/>
      <c r="Q32" s="239"/>
      <c r="R32" s="238"/>
      <c r="S32" s="239"/>
      <c r="T32" s="239"/>
      <c r="U32" s="239"/>
      <c r="V32" s="211"/>
      <c r="W32" s="161"/>
      <c r="Y32" s="7"/>
      <c r="Z32" s="9"/>
    </row>
    <row r="33" spans="1:26" ht="12" customHeight="1" hidden="1">
      <c r="A33" s="1"/>
      <c r="B33" s="41" t="s">
        <v>49</v>
      </c>
      <c r="C33" s="31" t="s">
        <v>73</v>
      </c>
      <c r="D33" s="214"/>
      <c r="E33" s="225">
        <f>E35*1000*E34/(E11+1E-99)</f>
        <v>0</v>
      </c>
      <c r="F33" s="217">
        <v>220</v>
      </c>
      <c r="G33" s="218"/>
      <c r="H33" s="358">
        <v>0</v>
      </c>
      <c r="I33" s="358"/>
      <c r="J33" s="365"/>
      <c r="K33" s="236">
        <f>J33/(H33+1E-133)*100-100</f>
        <v>-100</v>
      </c>
      <c r="L33" s="213"/>
      <c r="M33" s="236">
        <f>L33/(H33+1E-106)*100-100</f>
        <v>-100</v>
      </c>
      <c r="N33" s="236">
        <f>L33-J33</f>
        <v>0</v>
      </c>
      <c r="O33" s="237"/>
      <c r="P33" s="238"/>
      <c r="Q33" s="239">
        <f>P33/(H33+1E-106)*100-100</f>
        <v>-100</v>
      </c>
      <c r="R33" s="238"/>
      <c r="S33" s="239">
        <f t="shared" si="6"/>
        <v>-100</v>
      </c>
      <c r="T33" s="239">
        <f>R33/(H33+1E-106)*100-100</f>
        <v>-100</v>
      </c>
      <c r="U33" s="239">
        <f t="shared" si="5"/>
        <v>0</v>
      </c>
      <c r="V33" s="211"/>
      <c r="W33" s="161"/>
      <c r="Y33" s="7"/>
      <c r="Z33" s="9"/>
    </row>
    <row r="34" spans="1:26" ht="12" customHeight="1" hidden="1">
      <c r="A34" s="1"/>
      <c r="B34" s="41" t="s">
        <v>93</v>
      </c>
      <c r="C34" s="31"/>
      <c r="D34" s="214"/>
      <c r="E34" s="215"/>
      <c r="F34" s="214">
        <v>0.61</v>
      </c>
      <c r="G34" s="386"/>
      <c r="H34" s="102"/>
      <c r="I34" s="102"/>
      <c r="J34" s="365"/>
      <c r="K34" s="236"/>
      <c r="L34" s="213"/>
      <c r="M34" s="236"/>
      <c r="N34" s="236"/>
      <c r="O34" s="237"/>
      <c r="P34" s="238"/>
      <c r="Q34" s="239">
        <f>P34/(H34+1E-106)*100-100</f>
        <v>-100</v>
      </c>
      <c r="R34" s="238"/>
      <c r="S34" s="239">
        <f t="shared" si="6"/>
        <v>-100</v>
      </c>
      <c r="T34" s="239">
        <f>R34/(H34+1E-106)*100-100</f>
        <v>-100</v>
      </c>
      <c r="U34" s="239">
        <f t="shared" si="5"/>
        <v>0</v>
      </c>
      <c r="V34" s="211"/>
      <c r="W34" s="161"/>
      <c r="Y34" s="7"/>
      <c r="Z34" s="9"/>
    </row>
    <row r="35" spans="1:26" ht="12" customHeight="1" hidden="1">
      <c r="A35" s="1"/>
      <c r="B35" s="40" t="s">
        <v>50</v>
      </c>
      <c r="C35" s="31" t="s">
        <v>79</v>
      </c>
      <c r="D35" s="217">
        <f>D33/(D34+1E-100)*D11/1000</f>
        <v>0</v>
      </c>
      <c r="E35" s="215"/>
      <c r="F35" s="214">
        <v>2565.7</v>
      </c>
      <c r="G35" s="386"/>
      <c r="H35" s="94">
        <v>0</v>
      </c>
      <c r="I35" s="94"/>
      <c r="J35" s="226">
        <v>0</v>
      </c>
      <c r="K35" s="236">
        <f>J35/(H35+1E-133)*100-100</f>
        <v>-100</v>
      </c>
      <c r="L35" s="220">
        <f>L33/(L34+1E-100)*L11/1000</f>
        <v>0</v>
      </c>
      <c r="M35" s="236">
        <f>L35/(H35+1E-106)*100-100</f>
        <v>-100</v>
      </c>
      <c r="N35" s="236">
        <f>L35-J35</f>
        <v>0</v>
      </c>
      <c r="O35" s="237"/>
      <c r="P35" s="238">
        <f>P33/(P34+1E-100)*P11/1000</f>
        <v>0</v>
      </c>
      <c r="Q35" s="239">
        <f>P35/(H35+1E-106)*100-100</f>
        <v>-100</v>
      </c>
      <c r="R35" s="238">
        <f>R33/(R34+1E-100)*R11/1000</f>
        <v>0</v>
      </c>
      <c r="S35" s="239">
        <f t="shared" si="6"/>
        <v>-100</v>
      </c>
      <c r="T35" s="239">
        <f>R35/(H35+1E-106)*100-100</f>
        <v>-100</v>
      </c>
      <c r="U35" s="239">
        <f t="shared" si="5"/>
        <v>0</v>
      </c>
      <c r="V35" s="211"/>
      <c r="W35" s="161"/>
      <c r="Y35" s="7"/>
      <c r="Z35" s="9"/>
    </row>
    <row r="36" spans="1:26" s="250" customFormat="1" ht="12" customHeight="1" hidden="1">
      <c r="A36" s="51"/>
      <c r="B36" s="39" t="s">
        <v>30</v>
      </c>
      <c r="C36" s="52" t="s">
        <v>78</v>
      </c>
      <c r="D36" s="247"/>
      <c r="E36" s="248">
        <f>E134/(E35+1E-102)*1000</f>
        <v>0</v>
      </c>
      <c r="F36" s="204">
        <v>3216.1</v>
      </c>
      <c r="G36" s="255"/>
      <c r="H36" s="98"/>
      <c r="I36" s="98"/>
      <c r="J36" s="365"/>
      <c r="K36" s="249">
        <f>J36/(H36+1E-133)*100-100</f>
        <v>-100</v>
      </c>
      <c r="L36" s="247"/>
      <c r="M36" s="249">
        <f>L36/(H36+1E-106)*100-100</f>
        <v>-100</v>
      </c>
      <c r="N36" s="249">
        <f>L36-J36</f>
        <v>0</v>
      </c>
      <c r="O36" s="248"/>
      <c r="P36" s="229"/>
      <c r="Q36" s="205">
        <f>P36/(H36+1E-106)*100-100</f>
        <v>-100</v>
      </c>
      <c r="R36" s="229"/>
      <c r="S36" s="205">
        <f t="shared" si="6"/>
        <v>-100</v>
      </c>
      <c r="T36" s="205">
        <f>R36/(H36+1E-106)*100-100</f>
        <v>-100</v>
      </c>
      <c r="U36" s="205">
        <f t="shared" si="5"/>
        <v>0</v>
      </c>
      <c r="V36" s="207"/>
      <c r="W36" s="254"/>
      <c r="Z36" s="251"/>
    </row>
    <row r="37" spans="1:26" ht="12" customHeight="1" hidden="1">
      <c r="A37" s="1"/>
      <c r="B37" s="43" t="s">
        <v>77</v>
      </c>
      <c r="C37" s="31" t="s">
        <v>78</v>
      </c>
      <c r="D37" s="214"/>
      <c r="E37" s="215"/>
      <c r="F37" s="214"/>
      <c r="G37" s="386"/>
      <c r="H37" s="98"/>
      <c r="I37" s="98"/>
      <c r="J37" s="365"/>
      <c r="K37" s="236">
        <f>J37/(H37+1E-133)*100-100</f>
        <v>-100</v>
      </c>
      <c r="L37" s="213"/>
      <c r="M37" s="236">
        <f>L37/(H37+1E-106)*100-100</f>
        <v>-100</v>
      </c>
      <c r="N37" s="236">
        <f>L37-J37</f>
        <v>0</v>
      </c>
      <c r="O37" s="237"/>
      <c r="P37" s="238"/>
      <c r="Q37" s="239">
        <f>P37/(H37+1E-106)*100-100</f>
        <v>-100</v>
      </c>
      <c r="R37" s="238"/>
      <c r="S37" s="239">
        <f t="shared" si="6"/>
        <v>-100</v>
      </c>
      <c r="T37" s="239">
        <f>R37/(H37+1E-106)*100-100</f>
        <v>-100</v>
      </c>
      <c r="U37" s="239">
        <f t="shared" si="5"/>
        <v>0</v>
      </c>
      <c r="V37" s="211"/>
      <c r="W37" s="161"/>
      <c r="Y37" s="7"/>
      <c r="Z37" s="9"/>
    </row>
    <row r="38" spans="1:26" ht="12" customHeight="1" hidden="1">
      <c r="A38" s="1" t="s">
        <v>62</v>
      </c>
      <c r="B38" s="39" t="s">
        <v>82</v>
      </c>
      <c r="C38" s="31"/>
      <c r="D38" s="217"/>
      <c r="E38" s="218"/>
      <c r="F38" s="217"/>
      <c r="G38" s="218"/>
      <c r="H38" s="94"/>
      <c r="I38" s="94"/>
      <c r="J38" s="226"/>
      <c r="K38" s="236"/>
      <c r="L38" s="220"/>
      <c r="M38" s="236"/>
      <c r="N38" s="236"/>
      <c r="O38" s="237"/>
      <c r="P38" s="238"/>
      <c r="Q38" s="239"/>
      <c r="R38" s="238"/>
      <c r="S38" s="239"/>
      <c r="T38" s="239"/>
      <c r="U38" s="239"/>
      <c r="V38" s="211"/>
      <c r="W38" s="161"/>
      <c r="Y38" s="7"/>
      <c r="Z38" s="9"/>
    </row>
    <row r="39" spans="1:26" ht="12" customHeight="1" hidden="1">
      <c r="A39" s="1"/>
      <c r="B39" s="41" t="s">
        <v>49</v>
      </c>
      <c r="C39" s="31" t="s">
        <v>73</v>
      </c>
      <c r="D39" s="214"/>
      <c r="E39" s="225">
        <f>E41*1000*E40/(E12+1E-97)</f>
        <v>0</v>
      </c>
      <c r="F39" s="217"/>
      <c r="G39" s="218"/>
      <c r="H39" s="98"/>
      <c r="I39" s="98"/>
      <c r="J39" s="365"/>
      <c r="K39" s="236">
        <f>J39/(H39+1E-133)*100-100</f>
        <v>-100</v>
      </c>
      <c r="L39" s="213"/>
      <c r="M39" s="236">
        <f>L39/(H39+1E-106)*100-100</f>
        <v>-100</v>
      </c>
      <c r="N39" s="236">
        <f>L39-J39</f>
        <v>0</v>
      </c>
      <c r="O39" s="237"/>
      <c r="P39" s="238"/>
      <c r="Q39" s="239">
        <f>P39/(H39+1E-106)*100-100</f>
        <v>-100</v>
      </c>
      <c r="R39" s="238"/>
      <c r="S39" s="239">
        <f t="shared" si="6"/>
        <v>-100</v>
      </c>
      <c r="T39" s="239">
        <f>R39/(H39+1E-106)*100-100</f>
        <v>-100</v>
      </c>
      <c r="U39" s="239">
        <f t="shared" si="5"/>
        <v>0</v>
      </c>
      <c r="V39" s="211"/>
      <c r="W39" s="161"/>
      <c r="Y39" s="7"/>
      <c r="Z39" s="9"/>
    </row>
    <row r="40" spans="1:26" ht="12" customHeight="1" hidden="1">
      <c r="A40" s="1"/>
      <c r="B40" s="41" t="s">
        <v>93</v>
      </c>
      <c r="C40" s="31"/>
      <c r="D40" s="214"/>
      <c r="E40" s="215"/>
      <c r="F40" s="214"/>
      <c r="G40" s="386"/>
      <c r="H40" s="102"/>
      <c r="I40" s="102"/>
      <c r="J40" s="365"/>
      <c r="K40" s="236"/>
      <c r="L40" s="213"/>
      <c r="M40" s="236"/>
      <c r="N40" s="236"/>
      <c r="O40" s="237"/>
      <c r="P40" s="238"/>
      <c r="Q40" s="239">
        <f>P40/(H40+1E-106)*100-100</f>
        <v>-100</v>
      </c>
      <c r="R40" s="238"/>
      <c r="S40" s="239">
        <f t="shared" si="6"/>
        <v>-100</v>
      </c>
      <c r="T40" s="239">
        <f>R40/(H40+1E-106)*100-100</f>
        <v>-100</v>
      </c>
      <c r="U40" s="239">
        <f t="shared" si="5"/>
        <v>0</v>
      </c>
      <c r="V40" s="211"/>
      <c r="W40" s="161"/>
      <c r="Y40" s="7"/>
      <c r="Z40" s="9"/>
    </row>
    <row r="41" spans="1:26" ht="12" customHeight="1" hidden="1">
      <c r="A41" s="1"/>
      <c r="B41" s="40" t="s">
        <v>50</v>
      </c>
      <c r="C41" s="31" t="s">
        <v>79</v>
      </c>
      <c r="D41" s="217">
        <f>D39/(D40+1E-102)*D12/1000</f>
        <v>0</v>
      </c>
      <c r="E41" s="215"/>
      <c r="F41" s="214">
        <v>0</v>
      </c>
      <c r="G41" s="386"/>
      <c r="H41" s="105">
        <v>0</v>
      </c>
      <c r="I41" s="105"/>
      <c r="J41" s="226">
        <v>0</v>
      </c>
      <c r="K41" s="236">
        <f>J41/(H41+1E-133)*100-100</f>
        <v>-100</v>
      </c>
      <c r="L41" s="220">
        <f>L39/(L40+1E-102)*L12/1000</f>
        <v>0</v>
      </c>
      <c r="M41" s="236">
        <f>L41/(H41+1E-106)*100-100</f>
        <v>-100</v>
      </c>
      <c r="N41" s="236">
        <f>L41-J41</f>
        <v>0</v>
      </c>
      <c r="O41" s="237"/>
      <c r="P41" s="238">
        <f>P39/(P40+1E-102)*P12/1000</f>
        <v>0</v>
      </c>
      <c r="Q41" s="239">
        <f>P41/(H41+1E-106)*100-100</f>
        <v>-100</v>
      </c>
      <c r="R41" s="238">
        <f>R39/(R40+1E-102)*R12/1000</f>
        <v>0</v>
      </c>
      <c r="S41" s="239">
        <f t="shared" si="6"/>
        <v>-100</v>
      </c>
      <c r="T41" s="239">
        <f>R41/(H41+1E-106)*100-100</f>
        <v>-100</v>
      </c>
      <c r="U41" s="239">
        <f t="shared" si="5"/>
        <v>0</v>
      </c>
      <c r="V41" s="211"/>
      <c r="W41" s="161"/>
      <c r="Y41" s="7"/>
      <c r="Z41" s="9"/>
    </row>
    <row r="42" spans="1:26" s="250" customFormat="1" ht="12" customHeight="1" hidden="1">
      <c r="A42" s="51"/>
      <c r="B42" s="39" t="s">
        <v>30</v>
      </c>
      <c r="C42" s="52" t="s">
        <v>78</v>
      </c>
      <c r="D42" s="247"/>
      <c r="E42" s="248">
        <f>E135/(E41+1E-103)*1000</f>
        <v>0</v>
      </c>
      <c r="F42" s="204"/>
      <c r="G42" s="255"/>
      <c r="H42" s="98"/>
      <c r="I42" s="98"/>
      <c r="J42" s="365"/>
      <c r="K42" s="249">
        <f>J42/(H42+1E-133)*100-100</f>
        <v>-100</v>
      </c>
      <c r="L42" s="247"/>
      <c r="M42" s="249">
        <f>L42/(H42+1E-106)*100-100</f>
        <v>-100</v>
      </c>
      <c r="N42" s="249">
        <f>L42-J42</f>
        <v>0</v>
      </c>
      <c r="O42" s="248"/>
      <c r="P42" s="229"/>
      <c r="Q42" s="205">
        <f>P42/(H42+1E-106)*100-100</f>
        <v>-100</v>
      </c>
      <c r="R42" s="229"/>
      <c r="S42" s="205">
        <f t="shared" si="6"/>
        <v>-100</v>
      </c>
      <c r="T42" s="205">
        <f>R42/(H42+1E-106)*100-100</f>
        <v>-100</v>
      </c>
      <c r="U42" s="205">
        <f t="shared" si="5"/>
        <v>0</v>
      </c>
      <c r="V42" s="207"/>
      <c r="W42" s="254"/>
      <c r="Z42" s="251"/>
    </row>
    <row r="43" spans="1:26" ht="12" customHeight="1" hidden="1">
      <c r="A43" s="1"/>
      <c r="B43" s="43" t="s">
        <v>77</v>
      </c>
      <c r="C43" s="31" t="s">
        <v>78</v>
      </c>
      <c r="D43" s="214"/>
      <c r="E43" s="215"/>
      <c r="F43" s="214"/>
      <c r="G43" s="386"/>
      <c r="H43" s="98"/>
      <c r="I43" s="98"/>
      <c r="J43" s="365"/>
      <c r="K43" s="236">
        <f>J43/(H43+1E-133)*100-100</f>
        <v>-100</v>
      </c>
      <c r="L43" s="213"/>
      <c r="M43" s="236">
        <f>L43/(H43+1E-106)*100-100</f>
        <v>-100</v>
      </c>
      <c r="N43" s="236">
        <f>L43-J43</f>
        <v>0</v>
      </c>
      <c r="O43" s="237"/>
      <c r="P43" s="238"/>
      <c r="Q43" s="239">
        <f>P43/(H43+1E-106)*100-100</f>
        <v>-100</v>
      </c>
      <c r="R43" s="238"/>
      <c r="S43" s="239">
        <f t="shared" si="6"/>
        <v>-100</v>
      </c>
      <c r="T43" s="239">
        <f>R43/(H43+1E-106)*100-100</f>
        <v>-100</v>
      </c>
      <c r="U43" s="239">
        <f t="shared" si="5"/>
        <v>0</v>
      </c>
      <c r="V43" s="211"/>
      <c r="W43" s="161"/>
      <c r="Y43" s="7"/>
      <c r="Z43" s="9"/>
    </row>
    <row r="44" spans="1:26" ht="12" customHeight="1" hidden="1">
      <c r="A44" s="1" t="s">
        <v>62</v>
      </c>
      <c r="B44" s="39" t="s">
        <v>84</v>
      </c>
      <c r="C44" s="31"/>
      <c r="D44" s="217"/>
      <c r="E44" s="218"/>
      <c r="F44" s="217"/>
      <c r="G44" s="218"/>
      <c r="H44" s="94"/>
      <c r="I44" s="94"/>
      <c r="J44" s="226"/>
      <c r="K44" s="236"/>
      <c r="L44" s="220"/>
      <c r="M44" s="236"/>
      <c r="N44" s="236"/>
      <c r="O44" s="237"/>
      <c r="P44" s="238"/>
      <c r="Q44" s="239"/>
      <c r="R44" s="238"/>
      <c r="S44" s="239"/>
      <c r="T44" s="239"/>
      <c r="U44" s="239"/>
      <c r="V44" s="211"/>
      <c r="W44" s="161"/>
      <c r="Y44" s="7"/>
      <c r="Z44" s="9"/>
    </row>
    <row r="45" spans="1:26" ht="12" customHeight="1" hidden="1">
      <c r="A45" s="1"/>
      <c r="B45" s="41" t="s">
        <v>49</v>
      </c>
      <c r="C45" s="31" t="s">
        <v>73</v>
      </c>
      <c r="D45" s="214"/>
      <c r="E45" s="225">
        <f>E47*1000*E46/(E13+1E-99)</f>
        <v>0</v>
      </c>
      <c r="F45" s="217">
        <v>155</v>
      </c>
      <c r="G45" s="218"/>
      <c r="H45" s="98"/>
      <c r="I45" s="98"/>
      <c r="J45" s="365"/>
      <c r="K45" s="236">
        <f>J45/(H45+1E-133)*100-100</f>
        <v>-100</v>
      </c>
      <c r="L45" s="213"/>
      <c r="M45" s="236">
        <f>L45/(H45+1E-106)*100-100</f>
        <v>-100</v>
      </c>
      <c r="N45" s="236">
        <f>L45-J45</f>
        <v>0</v>
      </c>
      <c r="O45" s="237"/>
      <c r="P45" s="238"/>
      <c r="Q45" s="239">
        <f>P45/(H45+1E-106)*100-100</f>
        <v>-100</v>
      </c>
      <c r="R45" s="238"/>
      <c r="S45" s="239">
        <f t="shared" si="6"/>
        <v>-100</v>
      </c>
      <c r="T45" s="239">
        <f>R45/(H45+1E-106)*100-100</f>
        <v>-100</v>
      </c>
      <c r="U45" s="239">
        <f t="shared" si="5"/>
        <v>0</v>
      </c>
      <c r="V45" s="211"/>
      <c r="W45" s="161"/>
      <c r="Y45" s="7"/>
      <c r="Z45" s="9"/>
    </row>
    <row r="46" spans="1:26" ht="12" customHeight="1" hidden="1">
      <c r="A46" s="1"/>
      <c r="B46" s="41" t="s">
        <v>93</v>
      </c>
      <c r="C46" s="31"/>
      <c r="D46" s="214"/>
      <c r="E46" s="215"/>
      <c r="F46" s="214">
        <v>1.5</v>
      </c>
      <c r="G46" s="386"/>
      <c r="H46" s="102"/>
      <c r="I46" s="102"/>
      <c r="J46" s="365"/>
      <c r="K46" s="236"/>
      <c r="L46" s="213"/>
      <c r="M46" s="236"/>
      <c r="N46" s="236"/>
      <c r="O46" s="237"/>
      <c r="P46" s="238"/>
      <c r="Q46" s="239">
        <f>P46/(H46+1E-106)*100-100</f>
        <v>-100</v>
      </c>
      <c r="R46" s="238"/>
      <c r="S46" s="239">
        <f t="shared" si="6"/>
        <v>-100</v>
      </c>
      <c r="T46" s="239">
        <f>R46/(H46+1E-106)*100-100</f>
        <v>-100</v>
      </c>
      <c r="U46" s="239">
        <f t="shared" si="5"/>
        <v>0</v>
      </c>
      <c r="V46" s="211"/>
      <c r="W46" s="161"/>
      <c r="Y46" s="7"/>
      <c r="Z46" s="9"/>
    </row>
    <row r="47" spans="1:26" ht="12" customHeight="1" hidden="1">
      <c r="A47" s="1"/>
      <c r="B47" s="40" t="s">
        <v>50</v>
      </c>
      <c r="C47" s="31" t="s">
        <v>79</v>
      </c>
      <c r="D47" s="217">
        <f>D45/(D46+1E-105)*D13/1000</f>
        <v>0</v>
      </c>
      <c r="E47" s="215"/>
      <c r="F47" s="214">
        <v>41.1</v>
      </c>
      <c r="G47" s="386"/>
      <c r="H47" s="105">
        <v>0</v>
      </c>
      <c r="I47" s="105"/>
      <c r="J47" s="226">
        <v>0</v>
      </c>
      <c r="K47" s="236">
        <f>J47/(H47+1E-133)*100-100</f>
        <v>-100</v>
      </c>
      <c r="L47" s="220">
        <f>L45/(L46+1E-105)*L13/1000</f>
        <v>0</v>
      </c>
      <c r="M47" s="236">
        <f>L47/(H47+1E-106)*100-100</f>
        <v>-100</v>
      </c>
      <c r="N47" s="236">
        <f>L47-J47</f>
        <v>0</v>
      </c>
      <c r="O47" s="237"/>
      <c r="P47" s="238">
        <f>P45/(P46+1E-105)*P13/1000</f>
        <v>0</v>
      </c>
      <c r="Q47" s="239">
        <f>P47/(H47+1E-106)*100-100</f>
        <v>-100</v>
      </c>
      <c r="R47" s="238">
        <f>R45/(R46+1E-105)*R13/1000</f>
        <v>0</v>
      </c>
      <c r="S47" s="239">
        <f t="shared" si="6"/>
        <v>-100</v>
      </c>
      <c r="T47" s="239">
        <f>R47/(H47+1E-106)*100-100</f>
        <v>-100</v>
      </c>
      <c r="U47" s="239">
        <f t="shared" si="5"/>
        <v>0</v>
      </c>
      <c r="V47" s="211"/>
      <c r="W47" s="161"/>
      <c r="Y47" s="7"/>
      <c r="Z47" s="9"/>
    </row>
    <row r="48" spans="1:26" s="250" customFormat="1" ht="12" customHeight="1" hidden="1">
      <c r="A48" s="51"/>
      <c r="B48" s="39" t="s">
        <v>30</v>
      </c>
      <c r="C48" s="52" t="s">
        <v>78</v>
      </c>
      <c r="D48" s="247"/>
      <c r="E48" s="248">
        <f>E136/(E47+1E-102)*1000</f>
        <v>0</v>
      </c>
      <c r="F48" s="204">
        <v>21572.99</v>
      </c>
      <c r="G48" s="255"/>
      <c r="H48" s="98"/>
      <c r="I48" s="98"/>
      <c r="J48" s="365"/>
      <c r="K48" s="249">
        <f>J48/(H48+1E-133)*100-100</f>
        <v>-100</v>
      </c>
      <c r="L48" s="247"/>
      <c r="M48" s="249">
        <f>L48/(H48+1E-106)*100-100</f>
        <v>-100</v>
      </c>
      <c r="N48" s="249">
        <f>L48-J48</f>
        <v>0</v>
      </c>
      <c r="O48" s="248"/>
      <c r="P48" s="229"/>
      <c r="Q48" s="205">
        <f>P48/(H48+1E-106)*100-100</f>
        <v>-100</v>
      </c>
      <c r="R48" s="229"/>
      <c r="S48" s="205">
        <f t="shared" si="6"/>
        <v>-100</v>
      </c>
      <c r="T48" s="205">
        <f>R48/(H48+1E-106)*100-100</f>
        <v>-100</v>
      </c>
      <c r="U48" s="205">
        <f t="shared" si="5"/>
        <v>0</v>
      </c>
      <c r="V48" s="207"/>
      <c r="W48" s="254"/>
      <c r="Z48" s="251"/>
    </row>
    <row r="49" spans="1:26" ht="12" customHeight="1" hidden="1">
      <c r="A49" s="1"/>
      <c r="B49" s="43" t="s">
        <v>77</v>
      </c>
      <c r="C49" s="31" t="s">
        <v>78</v>
      </c>
      <c r="D49" s="214"/>
      <c r="E49" s="215"/>
      <c r="F49" s="214"/>
      <c r="G49" s="386"/>
      <c r="H49" s="98"/>
      <c r="I49" s="98"/>
      <c r="J49" s="365"/>
      <c r="K49" s="236">
        <f>J49/(H49+1E-133)*100-100</f>
        <v>-100</v>
      </c>
      <c r="L49" s="213"/>
      <c r="M49" s="236">
        <f>L49/(H49+1E-106)*100-100</f>
        <v>-100</v>
      </c>
      <c r="N49" s="236">
        <f>L49-J49</f>
        <v>0</v>
      </c>
      <c r="O49" s="237"/>
      <c r="P49" s="238"/>
      <c r="Q49" s="239">
        <f>P49/(H49+1E-106)*100-100</f>
        <v>-100</v>
      </c>
      <c r="R49" s="238"/>
      <c r="S49" s="239">
        <f t="shared" si="6"/>
        <v>-100</v>
      </c>
      <c r="T49" s="239">
        <f>R49/(H49+1E-106)*100-100</f>
        <v>-100</v>
      </c>
      <c r="U49" s="239">
        <f t="shared" si="5"/>
        <v>0</v>
      </c>
      <c r="V49" s="211"/>
      <c r="W49" s="161"/>
      <c r="Y49" s="7"/>
      <c r="Z49" s="9"/>
    </row>
    <row r="50" spans="1:26" ht="12" customHeight="1" hidden="1">
      <c r="A50" s="1" t="s">
        <v>62</v>
      </c>
      <c r="B50" s="39" t="s">
        <v>83</v>
      </c>
      <c r="C50" s="31"/>
      <c r="D50" s="217"/>
      <c r="E50" s="218"/>
      <c r="F50" s="217"/>
      <c r="G50" s="218"/>
      <c r="H50" s="94"/>
      <c r="I50" s="94"/>
      <c r="J50" s="226"/>
      <c r="K50" s="236"/>
      <c r="L50" s="220"/>
      <c r="M50" s="236"/>
      <c r="N50" s="236"/>
      <c r="O50" s="237"/>
      <c r="P50" s="238"/>
      <c r="Q50" s="239"/>
      <c r="R50" s="238"/>
      <c r="S50" s="239"/>
      <c r="T50" s="239"/>
      <c r="U50" s="239"/>
      <c r="V50" s="211"/>
      <c r="W50" s="161"/>
      <c r="Y50" s="7"/>
      <c r="Z50" s="9"/>
    </row>
    <row r="51" spans="1:26" ht="12" customHeight="1" hidden="1">
      <c r="A51" s="1"/>
      <c r="B51" s="41" t="s">
        <v>49</v>
      </c>
      <c r="C51" s="31" t="s">
        <v>73</v>
      </c>
      <c r="D51" s="214"/>
      <c r="E51" s="225">
        <f>E53*1000*E52/(E14+1E-97)</f>
        <v>0</v>
      </c>
      <c r="F51" s="217"/>
      <c r="G51" s="218"/>
      <c r="H51" s="98"/>
      <c r="I51" s="98"/>
      <c r="J51" s="365"/>
      <c r="K51" s="236">
        <f>J51/(H51+1E-133)*100-100</f>
        <v>-100</v>
      </c>
      <c r="L51" s="213"/>
      <c r="M51" s="236">
        <f>L51/(H51+1E-106)*100-100</f>
        <v>-100</v>
      </c>
      <c r="N51" s="236">
        <f>L51-J51</f>
        <v>0</v>
      </c>
      <c r="O51" s="237"/>
      <c r="P51" s="238"/>
      <c r="Q51" s="239">
        <f>P51/(H51+1E-106)*100-100</f>
        <v>-100</v>
      </c>
      <c r="R51" s="238"/>
      <c r="S51" s="239">
        <f t="shared" si="6"/>
        <v>-100</v>
      </c>
      <c r="T51" s="239">
        <f>R51/(H51+1E-106)*100-100</f>
        <v>-100</v>
      </c>
      <c r="U51" s="239">
        <f t="shared" si="5"/>
        <v>0</v>
      </c>
      <c r="V51" s="211"/>
      <c r="W51" s="161"/>
      <c r="Y51" s="7"/>
      <c r="Z51" s="9"/>
    </row>
    <row r="52" spans="1:26" ht="12" customHeight="1" hidden="1">
      <c r="A52" s="1"/>
      <c r="B52" s="41" t="s">
        <v>93</v>
      </c>
      <c r="C52" s="31"/>
      <c r="D52" s="214"/>
      <c r="E52" s="215"/>
      <c r="F52" s="214"/>
      <c r="G52" s="386"/>
      <c r="H52" s="102"/>
      <c r="I52" s="102"/>
      <c r="J52" s="365"/>
      <c r="K52" s="236"/>
      <c r="L52" s="213"/>
      <c r="M52" s="236"/>
      <c r="N52" s="236"/>
      <c r="O52" s="237"/>
      <c r="P52" s="238"/>
      <c r="Q52" s="239">
        <f>P52/(H52+1E-106)*100-100</f>
        <v>-100</v>
      </c>
      <c r="R52" s="238"/>
      <c r="S52" s="239">
        <f t="shared" si="6"/>
        <v>-100</v>
      </c>
      <c r="T52" s="239">
        <f>R52/(H52+1E-106)*100-100</f>
        <v>-100</v>
      </c>
      <c r="U52" s="239">
        <f t="shared" si="5"/>
        <v>0</v>
      </c>
      <c r="V52" s="211"/>
      <c r="W52" s="161"/>
      <c r="Y52" s="7"/>
      <c r="Z52" s="9"/>
    </row>
    <row r="53" spans="1:26" ht="12" customHeight="1" hidden="1">
      <c r="A53" s="1"/>
      <c r="B53" s="40" t="s">
        <v>50</v>
      </c>
      <c r="C53" s="31" t="s">
        <v>79</v>
      </c>
      <c r="D53" s="217">
        <f>D51/(D52+1E-101)*D14/1000</f>
        <v>0</v>
      </c>
      <c r="E53" s="215"/>
      <c r="F53" s="214">
        <v>0</v>
      </c>
      <c r="G53" s="386"/>
      <c r="H53" s="105">
        <v>0</v>
      </c>
      <c r="I53" s="105"/>
      <c r="J53" s="226">
        <v>0</v>
      </c>
      <c r="K53" s="236">
        <f>J53/(H53+1E-133)*100-100</f>
        <v>-100</v>
      </c>
      <c r="L53" s="220">
        <f>L51/(L52+1E-101)*L14/1000</f>
        <v>0</v>
      </c>
      <c r="M53" s="236">
        <f>L53/(H53+1E-106)*100-100</f>
        <v>-100</v>
      </c>
      <c r="N53" s="236">
        <f>L53-J53</f>
        <v>0</v>
      </c>
      <c r="O53" s="237"/>
      <c r="P53" s="238">
        <f>P51/(P52+1E-101)*P14/1000</f>
        <v>0</v>
      </c>
      <c r="Q53" s="239">
        <f>P53/(H53+1E-106)*100-100</f>
        <v>-100</v>
      </c>
      <c r="R53" s="238">
        <f>R51/(R52+1E-101)*R14/1000</f>
        <v>0</v>
      </c>
      <c r="S53" s="239">
        <f t="shared" si="6"/>
        <v>-100</v>
      </c>
      <c r="T53" s="239">
        <f>R53/(H53+1E-106)*100-100</f>
        <v>-100</v>
      </c>
      <c r="U53" s="239">
        <f t="shared" si="5"/>
        <v>0</v>
      </c>
      <c r="V53" s="211"/>
      <c r="W53" s="161"/>
      <c r="Y53" s="7"/>
      <c r="Z53" s="9"/>
    </row>
    <row r="54" spans="1:26" s="250" customFormat="1" ht="12" customHeight="1" hidden="1">
      <c r="A54" s="51"/>
      <c r="B54" s="39" t="s">
        <v>30</v>
      </c>
      <c r="C54" s="52" t="s">
        <v>78</v>
      </c>
      <c r="D54" s="247"/>
      <c r="E54" s="248">
        <f>E137/(E53+1E-102)*1000</f>
        <v>0</v>
      </c>
      <c r="F54" s="204"/>
      <c r="G54" s="255"/>
      <c r="H54" s="98"/>
      <c r="I54" s="98"/>
      <c r="J54" s="365"/>
      <c r="K54" s="249">
        <f>J54/(H54+1E-133)*100-100</f>
        <v>-100</v>
      </c>
      <c r="L54" s="247"/>
      <c r="M54" s="249">
        <f>L54/(H54+1E-106)*100-100</f>
        <v>-100</v>
      </c>
      <c r="N54" s="249">
        <f>L54-J54</f>
        <v>0</v>
      </c>
      <c r="O54" s="248"/>
      <c r="P54" s="229"/>
      <c r="Q54" s="205">
        <f>P54/(H54+1E-106)*100-100</f>
        <v>-100</v>
      </c>
      <c r="R54" s="229"/>
      <c r="S54" s="205">
        <f t="shared" si="6"/>
        <v>-100</v>
      </c>
      <c r="T54" s="205">
        <f>R54/(H54+1E-106)*100-100</f>
        <v>-100</v>
      </c>
      <c r="U54" s="205">
        <f t="shared" si="5"/>
        <v>0</v>
      </c>
      <c r="V54" s="207"/>
      <c r="W54" s="254"/>
      <c r="Z54" s="251"/>
    </row>
    <row r="55" spans="1:26" ht="12" customHeight="1" hidden="1">
      <c r="A55" s="1"/>
      <c r="B55" s="43" t="s">
        <v>77</v>
      </c>
      <c r="C55" s="31" t="s">
        <v>78</v>
      </c>
      <c r="D55" s="214"/>
      <c r="E55" s="215"/>
      <c r="F55" s="214"/>
      <c r="G55" s="386"/>
      <c r="H55" s="98"/>
      <c r="I55" s="98"/>
      <c r="J55" s="365"/>
      <c r="K55" s="236">
        <f>J55/(H55+1E-133)*100-100</f>
        <v>-100</v>
      </c>
      <c r="L55" s="213"/>
      <c r="M55" s="236">
        <f>L55/(H55+1E-106)*100-100</f>
        <v>-100</v>
      </c>
      <c r="N55" s="236">
        <f>L55-J55</f>
        <v>0</v>
      </c>
      <c r="O55" s="237"/>
      <c r="P55" s="238"/>
      <c r="Q55" s="239">
        <f>P55/(H55+1E-106)*100-100</f>
        <v>-100</v>
      </c>
      <c r="R55" s="238"/>
      <c r="S55" s="239">
        <f t="shared" si="6"/>
        <v>-100</v>
      </c>
      <c r="T55" s="239">
        <f>R55/(H55+1E-106)*100-100</f>
        <v>-100</v>
      </c>
      <c r="U55" s="239">
        <f t="shared" si="5"/>
        <v>0</v>
      </c>
      <c r="V55" s="211"/>
      <c r="W55" s="161"/>
      <c r="Y55" s="7"/>
      <c r="Z55" s="9"/>
    </row>
    <row r="56" spans="1:26" ht="12" customHeight="1" hidden="1">
      <c r="A56" s="1" t="s">
        <v>62</v>
      </c>
      <c r="B56" s="39" t="s">
        <v>85</v>
      </c>
      <c r="C56" s="31"/>
      <c r="D56" s="217"/>
      <c r="E56" s="218"/>
      <c r="F56" s="217"/>
      <c r="G56" s="218"/>
      <c r="H56" s="94"/>
      <c r="I56" s="94"/>
      <c r="J56" s="226"/>
      <c r="K56" s="236"/>
      <c r="L56" s="220"/>
      <c r="M56" s="236"/>
      <c r="N56" s="236"/>
      <c r="O56" s="237"/>
      <c r="P56" s="238"/>
      <c r="Q56" s="239"/>
      <c r="R56" s="238"/>
      <c r="S56" s="239"/>
      <c r="T56" s="239"/>
      <c r="U56" s="239"/>
      <c r="V56" s="211"/>
      <c r="W56" s="161"/>
      <c r="Y56" s="7"/>
      <c r="Z56" s="9"/>
    </row>
    <row r="57" spans="1:26" ht="12" customHeight="1" hidden="1">
      <c r="A57" s="1"/>
      <c r="B57" s="41" t="s">
        <v>49</v>
      </c>
      <c r="C57" s="31" t="s">
        <v>73</v>
      </c>
      <c r="D57" s="214"/>
      <c r="E57" s="225">
        <f>E59*1000*E58/(E15+1E-96)</f>
        <v>0</v>
      </c>
      <c r="F57" s="217"/>
      <c r="G57" s="218"/>
      <c r="H57" s="98"/>
      <c r="I57" s="98"/>
      <c r="J57" s="365"/>
      <c r="K57" s="236">
        <f>J57/(H57+1E-133)*100-100</f>
        <v>-100</v>
      </c>
      <c r="L57" s="213"/>
      <c r="M57" s="236">
        <f>L57/(H57+1E-106)*100-100</f>
        <v>-100</v>
      </c>
      <c r="N57" s="236">
        <f>L57-J57</f>
        <v>0</v>
      </c>
      <c r="O57" s="237"/>
      <c r="P57" s="238"/>
      <c r="Q57" s="239">
        <f>P57/(H57+1E-106)*100-100</f>
        <v>-100</v>
      </c>
      <c r="R57" s="238"/>
      <c r="S57" s="239">
        <f t="shared" si="6"/>
        <v>-100</v>
      </c>
      <c r="T57" s="239">
        <f>R57/(H57+1E-106)*100-100</f>
        <v>-100</v>
      </c>
      <c r="U57" s="239">
        <f t="shared" si="5"/>
        <v>0</v>
      </c>
      <c r="V57" s="211"/>
      <c r="W57" s="161"/>
      <c r="Y57" s="7"/>
      <c r="Z57" s="9"/>
    </row>
    <row r="58" spans="1:26" ht="12" customHeight="1" hidden="1">
      <c r="A58" s="1"/>
      <c r="B58" s="41" t="s">
        <v>93</v>
      </c>
      <c r="C58" s="31"/>
      <c r="D58" s="214"/>
      <c r="E58" s="215"/>
      <c r="F58" s="214"/>
      <c r="G58" s="386"/>
      <c r="H58" s="102"/>
      <c r="I58" s="102"/>
      <c r="J58" s="365"/>
      <c r="K58" s="236"/>
      <c r="L58" s="213"/>
      <c r="M58" s="236"/>
      <c r="N58" s="236"/>
      <c r="O58" s="237"/>
      <c r="P58" s="238"/>
      <c r="Q58" s="239">
        <f>P58/(H58+1E-106)*100-100</f>
        <v>-100</v>
      </c>
      <c r="R58" s="238"/>
      <c r="S58" s="239">
        <f t="shared" si="6"/>
        <v>-100</v>
      </c>
      <c r="T58" s="239">
        <f>R58/(H58+1E-106)*100-100</f>
        <v>-100</v>
      </c>
      <c r="U58" s="239">
        <f t="shared" si="5"/>
        <v>0</v>
      </c>
      <c r="V58" s="211"/>
      <c r="W58" s="161"/>
      <c r="Y58" s="7"/>
      <c r="Z58" s="9"/>
    </row>
    <row r="59" spans="1:26" ht="12" customHeight="1" hidden="1">
      <c r="A59" s="1"/>
      <c r="B59" s="40" t="s">
        <v>50</v>
      </c>
      <c r="C59" s="31" t="s">
        <v>79</v>
      </c>
      <c r="D59" s="217">
        <f>D57/(D58+1E-101)*D15/1000</f>
        <v>0</v>
      </c>
      <c r="E59" s="215"/>
      <c r="F59" s="214">
        <v>0</v>
      </c>
      <c r="G59" s="386"/>
      <c r="H59" s="105">
        <v>0</v>
      </c>
      <c r="I59" s="105"/>
      <c r="J59" s="226">
        <v>0</v>
      </c>
      <c r="K59" s="236">
        <f>J59/(H59+1E-133)*100-100</f>
        <v>-100</v>
      </c>
      <c r="L59" s="220">
        <f>L57/(L58+1E-101)*L15/1000</f>
        <v>0</v>
      </c>
      <c r="M59" s="236">
        <f>L59/(H59+1E-106)*100-100</f>
        <v>-100</v>
      </c>
      <c r="N59" s="236">
        <f>L59-J59</f>
        <v>0</v>
      </c>
      <c r="O59" s="237"/>
      <c r="P59" s="238">
        <f>P57/(P58+1E-101)*P15/1000</f>
        <v>0</v>
      </c>
      <c r="Q59" s="239">
        <f>P59/(H59+1E-106)*100-100</f>
        <v>-100</v>
      </c>
      <c r="R59" s="238">
        <f>R57/(R58+1E-101)*R15/1000</f>
        <v>0</v>
      </c>
      <c r="S59" s="239">
        <f t="shared" si="6"/>
        <v>-100</v>
      </c>
      <c r="T59" s="239">
        <f>R59/(H59+1E-106)*100-100</f>
        <v>-100</v>
      </c>
      <c r="U59" s="239">
        <f t="shared" si="5"/>
        <v>0</v>
      </c>
      <c r="V59" s="211"/>
      <c r="W59" s="161"/>
      <c r="Y59" s="7"/>
      <c r="Z59" s="9"/>
    </row>
    <row r="60" spans="1:26" s="250" customFormat="1" ht="12" customHeight="1" hidden="1">
      <c r="A60" s="51"/>
      <c r="B60" s="39" t="s">
        <v>30</v>
      </c>
      <c r="C60" s="52" t="s">
        <v>78</v>
      </c>
      <c r="D60" s="221"/>
      <c r="E60" s="248">
        <f>E138/(E59+1E-102)*1000</f>
        <v>0</v>
      </c>
      <c r="F60" s="204"/>
      <c r="G60" s="255"/>
      <c r="H60" s="98"/>
      <c r="I60" s="98"/>
      <c r="J60" s="365"/>
      <c r="K60" s="249">
        <f>J60/(H60+1E-133)*100-100</f>
        <v>-100</v>
      </c>
      <c r="L60" s="247"/>
      <c r="M60" s="249">
        <f>L60/(H60+1E-106)*100-100</f>
        <v>-100</v>
      </c>
      <c r="N60" s="249">
        <f>L60-J60</f>
        <v>0</v>
      </c>
      <c r="O60" s="248"/>
      <c r="P60" s="229"/>
      <c r="Q60" s="205">
        <f>P60/(H60+1E-106)*100-100</f>
        <v>-100</v>
      </c>
      <c r="R60" s="229"/>
      <c r="S60" s="205">
        <f t="shared" si="6"/>
        <v>-100</v>
      </c>
      <c r="T60" s="205">
        <f>R60/(H60+1E-106)*100-100</f>
        <v>-100</v>
      </c>
      <c r="U60" s="205">
        <f t="shared" si="5"/>
        <v>0</v>
      </c>
      <c r="V60" s="207"/>
      <c r="W60" s="254"/>
      <c r="Z60" s="251"/>
    </row>
    <row r="61" spans="1:26" ht="12" customHeight="1" hidden="1">
      <c r="A61" s="1"/>
      <c r="B61" s="43" t="s">
        <v>77</v>
      </c>
      <c r="C61" s="31" t="s">
        <v>78</v>
      </c>
      <c r="D61" s="214"/>
      <c r="E61" s="215"/>
      <c r="F61" s="214"/>
      <c r="G61" s="386"/>
      <c r="H61" s="98"/>
      <c r="I61" s="98"/>
      <c r="J61" s="365"/>
      <c r="K61" s="236">
        <f>J61/(H61+1E-133)*100-100</f>
        <v>-100</v>
      </c>
      <c r="L61" s="213"/>
      <c r="M61" s="236">
        <f>L61/(H61+1E-106)*100-100</f>
        <v>-100</v>
      </c>
      <c r="N61" s="236">
        <f>L61-J61</f>
        <v>0</v>
      </c>
      <c r="O61" s="237"/>
      <c r="P61" s="238"/>
      <c r="Q61" s="239">
        <f>P61/(H61+1E-106)*100-100</f>
        <v>-100</v>
      </c>
      <c r="R61" s="238"/>
      <c r="S61" s="239">
        <f t="shared" si="6"/>
        <v>-100</v>
      </c>
      <c r="T61" s="239">
        <f>R61/(H61+1E-106)*100-100</f>
        <v>-100</v>
      </c>
      <c r="U61" s="239">
        <f t="shared" si="5"/>
        <v>0</v>
      </c>
      <c r="V61" s="211"/>
      <c r="W61" s="161"/>
      <c r="Y61" s="7"/>
      <c r="Z61" s="9"/>
    </row>
    <row r="62" spans="1:26" ht="12" customHeight="1" hidden="1">
      <c r="A62" s="1" t="s">
        <v>62</v>
      </c>
      <c r="B62" s="39" t="s">
        <v>86</v>
      </c>
      <c r="C62" s="31"/>
      <c r="D62" s="217"/>
      <c r="E62" s="218"/>
      <c r="F62" s="217"/>
      <c r="G62" s="218"/>
      <c r="H62" s="94"/>
      <c r="I62" s="94"/>
      <c r="J62" s="226"/>
      <c r="K62" s="236"/>
      <c r="L62" s="220"/>
      <c r="M62" s="236"/>
      <c r="N62" s="236"/>
      <c r="O62" s="237"/>
      <c r="P62" s="238"/>
      <c r="Q62" s="239"/>
      <c r="R62" s="238"/>
      <c r="S62" s="239"/>
      <c r="T62" s="239"/>
      <c r="U62" s="239"/>
      <c r="V62" s="211"/>
      <c r="W62" s="161"/>
      <c r="Y62" s="7"/>
      <c r="Z62" s="9"/>
    </row>
    <row r="63" spans="1:26" ht="12" customHeight="1" hidden="1">
      <c r="A63" s="1"/>
      <c r="B63" s="41" t="s">
        <v>49</v>
      </c>
      <c r="C63" s="31" t="s">
        <v>73</v>
      </c>
      <c r="D63" s="214"/>
      <c r="E63" s="225">
        <f>E65*1000*E64/(E16+1E-98)</f>
        <v>0</v>
      </c>
      <c r="F63" s="217"/>
      <c r="G63" s="218"/>
      <c r="H63" s="98"/>
      <c r="I63" s="98"/>
      <c r="J63" s="365"/>
      <c r="K63" s="236">
        <f>J63/(H63+1E-133)*100-100</f>
        <v>-100</v>
      </c>
      <c r="L63" s="213"/>
      <c r="M63" s="236">
        <f>L63/(H63+1E-106)*100-100</f>
        <v>-100</v>
      </c>
      <c r="N63" s="236">
        <f>L63-J63</f>
        <v>0</v>
      </c>
      <c r="O63" s="237"/>
      <c r="P63" s="238"/>
      <c r="Q63" s="239">
        <f>P63/(H63+1E-106)*100-100</f>
        <v>-100</v>
      </c>
      <c r="R63" s="238"/>
      <c r="S63" s="239">
        <f t="shared" si="6"/>
        <v>-100</v>
      </c>
      <c r="T63" s="239">
        <f>R63/(H63+1E-106)*100-100</f>
        <v>-100</v>
      </c>
      <c r="U63" s="239">
        <f t="shared" si="5"/>
        <v>0</v>
      </c>
      <c r="V63" s="211"/>
      <c r="W63" s="161"/>
      <c r="Y63" s="7"/>
      <c r="Z63" s="9"/>
    </row>
    <row r="64" spans="1:26" ht="12" customHeight="1" hidden="1">
      <c r="A64" s="1"/>
      <c r="B64" s="41" t="s">
        <v>93</v>
      </c>
      <c r="C64" s="31"/>
      <c r="D64" s="214"/>
      <c r="E64" s="215"/>
      <c r="F64" s="214"/>
      <c r="G64" s="386"/>
      <c r="H64" s="102"/>
      <c r="I64" s="102"/>
      <c r="J64" s="365"/>
      <c r="K64" s="236"/>
      <c r="L64" s="213"/>
      <c r="M64" s="236"/>
      <c r="N64" s="236"/>
      <c r="O64" s="237"/>
      <c r="P64" s="238"/>
      <c r="Q64" s="239"/>
      <c r="R64" s="238"/>
      <c r="S64" s="239">
        <f t="shared" si="6"/>
        <v>-100</v>
      </c>
      <c r="T64" s="239">
        <f>R64/(H64+1E-106)*100-100</f>
        <v>-100</v>
      </c>
      <c r="U64" s="239">
        <f t="shared" si="5"/>
        <v>0</v>
      </c>
      <c r="V64" s="211"/>
      <c r="W64" s="161"/>
      <c r="Y64" s="7"/>
      <c r="Z64" s="9"/>
    </row>
    <row r="65" spans="1:26" ht="12" customHeight="1" hidden="1">
      <c r="A65" s="1"/>
      <c r="B65" s="40" t="s">
        <v>50</v>
      </c>
      <c r="C65" s="31" t="s">
        <v>79</v>
      </c>
      <c r="D65" s="217">
        <f>D63/(D64+1E-97)*D16/1000</f>
        <v>0</v>
      </c>
      <c r="E65" s="215"/>
      <c r="F65" s="214">
        <v>0</v>
      </c>
      <c r="G65" s="386"/>
      <c r="H65" s="105">
        <v>0</v>
      </c>
      <c r="I65" s="105"/>
      <c r="J65" s="226">
        <v>0</v>
      </c>
      <c r="K65" s="236">
        <f>J65/(H65+1E-133)*100-100</f>
        <v>-100</v>
      </c>
      <c r="L65" s="220">
        <f>L63/(L64+1E-97)*L16/1000</f>
        <v>0</v>
      </c>
      <c r="M65" s="236">
        <f>L65/(H65+1E-106)*100-100</f>
        <v>-100</v>
      </c>
      <c r="N65" s="236">
        <f>L65-J65</f>
        <v>0</v>
      </c>
      <c r="O65" s="237"/>
      <c r="P65" s="238">
        <f>P63/(P64+1E-97)*P16/1000</f>
        <v>0</v>
      </c>
      <c r="Q65" s="239">
        <f>P65/(H65+1E-106)*100-100</f>
        <v>-100</v>
      </c>
      <c r="R65" s="238">
        <f>R63/(R64+1E-97)*R16/1000</f>
        <v>0</v>
      </c>
      <c r="S65" s="239">
        <f t="shared" si="6"/>
        <v>-100</v>
      </c>
      <c r="T65" s="239">
        <f>R65/(H65+1E-106)*100-100</f>
        <v>-100</v>
      </c>
      <c r="U65" s="239">
        <f t="shared" si="5"/>
        <v>0</v>
      </c>
      <c r="V65" s="211"/>
      <c r="W65" s="161"/>
      <c r="Y65" s="7"/>
      <c r="Z65" s="9"/>
    </row>
    <row r="66" spans="1:26" s="250" customFormat="1" ht="12" customHeight="1" hidden="1">
      <c r="A66" s="51"/>
      <c r="B66" s="39" t="s">
        <v>30</v>
      </c>
      <c r="C66" s="52" t="s">
        <v>78</v>
      </c>
      <c r="D66" s="247"/>
      <c r="E66" s="248">
        <f>E139/(E65+1E-102)*1000</f>
        <v>0</v>
      </c>
      <c r="F66" s="204"/>
      <c r="G66" s="255"/>
      <c r="H66" s="98"/>
      <c r="I66" s="98"/>
      <c r="J66" s="365"/>
      <c r="K66" s="249">
        <f>J66/(H66+1E-133)*100-100</f>
        <v>-100</v>
      </c>
      <c r="L66" s="247"/>
      <c r="M66" s="249">
        <f>L66/(H66+1E-106)*100-100</f>
        <v>-100</v>
      </c>
      <c r="N66" s="249">
        <f>L66-J66</f>
        <v>0</v>
      </c>
      <c r="O66" s="248"/>
      <c r="P66" s="229"/>
      <c r="Q66" s="205">
        <f>P66/(H66+1E-106)*100-100</f>
        <v>-100</v>
      </c>
      <c r="R66" s="229"/>
      <c r="S66" s="205">
        <f t="shared" si="6"/>
        <v>-100</v>
      </c>
      <c r="T66" s="205">
        <f>R66/(H66+1E-106)*100-100</f>
        <v>-100</v>
      </c>
      <c r="U66" s="205">
        <f t="shared" si="5"/>
        <v>0</v>
      </c>
      <c r="V66" s="207"/>
      <c r="W66" s="254"/>
      <c r="Z66" s="251"/>
    </row>
    <row r="67" spans="1:26" ht="12" customHeight="1" hidden="1">
      <c r="A67" s="1"/>
      <c r="B67" s="43" t="s">
        <v>77</v>
      </c>
      <c r="C67" s="31" t="s">
        <v>78</v>
      </c>
      <c r="D67" s="214"/>
      <c r="E67" s="215"/>
      <c r="F67" s="214"/>
      <c r="G67" s="386"/>
      <c r="H67" s="98"/>
      <c r="I67" s="98"/>
      <c r="J67" s="365"/>
      <c r="K67" s="236">
        <f>J67/(H67+1E-133)*100-100</f>
        <v>-100</v>
      </c>
      <c r="L67" s="213"/>
      <c r="M67" s="236">
        <f>L67/(H67+1E-106)*100-100</f>
        <v>-100</v>
      </c>
      <c r="N67" s="236">
        <f>L67-J67</f>
        <v>0</v>
      </c>
      <c r="O67" s="237"/>
      <c r="P67" s="238"/>
      <c r="Q67" s="239">
        <f>P67/(H67+1E-106)*100-100</f>
        <v>-100</v>
      </c>
      <c r="R67" s="238"/>
      <c r="S67" s="239">
        <f t="shared" si="6"/>
        <v>-100</v>
      </c>
      <c r="T67" s="239">
        <f>R67/(H67+1E-106)*100-100</f>
        <v>-100</v>
      </c>
      <c r="U67" s="239">
        <f t="shared" si="5"/>
        <v>0</v>
      </c>
      <c r="V67" s="211"/>
      <c r="W67" s="161"/>
      <c r="Y67" s="7"/>
      <c r="Z67" s="9"/>
    </row>
    <row r="68" spans="1:26" ht="12" customHeight="1">
      <c r="A68" s="51">
        <v>8</v>
      </c>
      <c r="B68" s="39" t="s">
        <v>9</v>
      </c>
      <c r="C68" s="31"/>
      <c r="D68" s="217"/>
      <c r="E68" s="225"/>
      <c r="F68" s="217"/>
      <c r="G68" s="218"/>
      <c r="H68" s="105"/>
      <c r="I68" s="105"/>
      <c r="J68" s="226"/>
      <c r="K68" s="237"/>
      <c r="L68" s="220"/>
      <c r="M68" s="236"/>
      <c r="N68" s="236"/>
      <c r="O68" s="237"/>
      <c r="P68" s="238"/>
      <c r="Q68" s="239"/>
      <c r="R68" s="238"/>
      <c r="S68" s="239"/>
      <c r="T68" s="239"/>
      <c r="U68" s="239">
        <f t="shared" si="5"/>
        <v>0</v>
      </c>
      <c r="V68" s="211"/>
      <c r="W68" s="161"/>
      <c r="Y68" s="7"/>
      <c r="Z68" s="9"/>
    </row>
    <row r="69" spans="1:26" ht="12" customHeight="1">
      <c r="A69" s="51" t="s">
        <v>62</v>
      </c>
      <c r="B69" s="40" t="s">
        <v>27</v>
      </c>
      <c r="C69" s="31"/>
      <c r="D69" s="217">
        <f>D70*1000/(D9+1E-113)</f>
        <v>0</v>
      </c>
      <c r="E69" s="218">
        <f>E70*1000/(E9+1E-113)</f>
        <v>0</v>
      </c>
      <c r="F69" s="217">
        <v>33</v>
      </c>
      <c r="G69" s="219">
        <v>21.13</v>
      </c>
      <c r="H69" s="105">
        <f>I69</f>
        <v>21.13</v>
      </c>
      <c r="I69" s="105">
        <f>I79/I9*1000</f>
        <v>21.13</v>
      </c>
      <c r="J69" s="226">
        <f>G69</f>
        <v>21.13</v>
      </c>
      <c r="K69" s="236">
        <f aca="true" t="shared" si="7" ref="K69:K74">J69/(H69+1E-133)*100-100</f>
        <v>0</v>
      </c>
      <c r="L69" s="220">
        <f>L70*1000/(L9+1E-113)</f>
        <v>0</v>
      </c>
      <c r="M69" s="236">
        <f>L69/(H69+1E-106)*100-100</f>
        <v>-100</v>
      </c>
      <c r="N69" s="236">
        <f aca="true" t="shared" si="8" ref="N69:N74">L69-J69</f>
        <v>-21.13</v>
      </c>
      <c r="O69" s="237"/>
      <c r="P69" s="238">
        <f>H69</f>
        <v>21.13</v>
      </c>
      <c r="Q69" s="239">
        <f>P69/(H69+1E-106)*100-100</f>
        <v>0</v>
      </c>
      <c r="R69" s="238">
        <f>P69</f>
        <v>21.13</v>
      </c>
      <c r="S69" s="239">
        <f t="shared" si="6"/>
        <v>0</v>
      </c>
      <c r="T69" s="239">
        <f aca="true" t="shared" si="9" ref="T69:T77">R69/(H69+1E-106)*100-100</f>
        <v>0</v>
      </c>
      <c r="U69" s="239">
        <f t="shared" si="5"/>
        <v>0</v>
      </c>
      <c r="V69" s="211"/>
      <c r="W69" s="161"/>
      <c r="Y69" s="7"/>
      <c r="Z69" s="9"/>
    </row>
    <row r="70" spans="1:26" s="250" customFormat="1" ht="39" customHeight="1" hidden="1">
      <c r="A70" s="51" t="s">
        <v>62</v>
      </c>
      <c r="B70" s="39" t="s">
        <v>158</v>
      </c>
      <c r="C70" s="52" t="s">
        <v>44</v>
      </c>
      <c r="D70" s="202">
        <f>D79+D85+D91+D97+D104+D110+D116+D122</f>
        <v>0</v>
      </c>
      <c r="E70" s="255">
        <f>E71+E72+E73+E74</f>
        <v>0</v>
      </c>
      <c r="F70" s="204">
        <v>6407.65</v>
      </c>
      <c r="G70" s="255"/>
      <c r="H70" s="113">
        <v>440.5</v>
      </c>
      <c r="I70" s="113"/>
      <c r="J70" s="364">
        <f>H70</f>
        <v>440.5</v>
      </c>
      <c r="K70" s="249">
        <f t="shared" si="7"/>
        <v>0</v>
      </c>
      <c r="L70" s="204">
        <f>L71+L72+L73+L74</f>
        <v>0</v>
      </c>
      <c r="M70" s="249">
        <f>L70/(H70+1E-106)*100-100</f>
        <v>-100</v>
      </c>
      <c r="N70" s="249">
        <f t="shared" si="8"/>
        <v>-440.5</v>
      </c>
      <c r="O70" s="248"/>
      <c r="P70" s="229">
        <f>P79+P97</f>
        <v>269.7</v>
      </c>
      <c r="Q70" s="205">
        <f>P70/(H70+1E-106)*100-100</f>
        <v>-38.77</v>
      </c>
      <c r="R70" s="229">
        <f>P70</f>
        <v>269.7</v>
      </c>
      <c r="S70" s="205">
        <f t="shared" si="6"/>
        <v>0</v>
      </c>
      <c r="T70" s="205">
        <f t="shared" si="9"/>
        <v>-38.77</v>
      </c>
      <c r="U70" s="205">
        <f t="shared" si="5"/>
        <v>-170.8</v>
      </c>
      <c r="V70" s="206"/>
      <c r="W70" s="254"/>
      <c r="Z70" s="251"/>
    </row>
    <row r="71" spans="1:26" ht="12" customHeight="1" hidden="1">
      <c r="A71" s="51"/>
      <c r="B71" s="40" t="s">
        <v>120</v>
      </c>
      <c r="C71" s="31" t="s">
        <v>44</v>
      </c>
      <c r="D71" s="217" t="s">
        <v>143</v>
      </c>
      <c r="E71" s="237">
        <f>E79+E104</f>
        <v>0</v>
      </c>
      <c r="F71" s="220">
        <v>6407.65</v>
      </c>
      <c r="G71" s="219"/>
      <c r="H71" s="98">
        <v>440.5</v>
      </c>
      <c r="I71" s="98"/>
      <c r="J71" s="365"/>
      <c r="K71" s="90">
        <f t="shared" si="7"/>
        <v>-100</v>
      </c>
      <c r="L71" s="220">
        <f>L104</f>
        <v>0</v>
      </c>
      <c r="M71" s="90"/>
      <c r="N71" s="91">
        <f t="shared" si="8"/>
        <v>0</v>
      </c>
      <c r="O71" s="106"/>
      <c r="P71" s="220">
        <f>P104</f>
        <v>0</v>
      </c>
      <c r="Q71" s="212"/>
      <c r="R71" s="220">
        <f>R104</f>
        <v>0</v>
      </c>
      <c r="S71" s="212">
        <f t="shared" si="6"/>
        <v>-100</v>
      </c>
      <c r="T71" s="212">
        <f t="shared" si="9"/>
        <v>-100</v>
      </c>
      <c r="U71" s="211">
        <f t="shared" si="5"/>
        <v>0</v>
      </c>
      <c r="V71" s="212"/>
      <c r="W71" s="161"/>
      <c r="Y71" s="7"/>
      <c r="Z71" s="9"/>
    </row>
    <row r="72" spans="1:26" ht="12" customHeight="1" hidden="1">
      <c r="A72" s="51"/>
      <c r="B72" s="40" t="s">
        <v>121</v>
      </c>
      <c r="C72" s="31" t="s">
        <v>44</v>
      </c>
      <c r="D72" s="217" t="s">
        <v>143</v>
      </c>
      <c r="E72" s="237">
        <f>E85+E110</f>
        <v>0</v>
      </c>
      <c r="F72" s="220"/>
      <c r="G72" s="219"/>
      <c r="H72" s="98"/>
      <c r="I72" s="98"/>
      <c r="J72" s="369">
        <v>46.81</v>
      </c>
      <c r="K72" s="90">
        <f t="shared" si="7"/>
        <v>4.681E+136</v>
      </c>
      <c r="L72" s="220">
        <f>L110</f>
        <v>0</v>
      </c>
      <c r="M72" s="90"/>
      <c r="N72" s="91">
        <f t="shared" si="8"/>
        <v>-46.81</v>
      </c>
      <c r="O72" s="106"/>
      <c r="P72" s="220">
        <f>P110</f>
        <v>269.68</v>
      </c>
      <c r="Q72" s="212"/>
      <c r="R72" s="220">
        <f>R110</f>
        <v>0</v>
      </c>
      <c r="S72" s="212">
        <f t="shared" si="6"/>
        <v>-100</v>
      </c>
      <c r="T72" s="212">
        <f t="shared" si="9"/>
        <v>-100</v>
      </c>
      <c r="U72" s="211">
        <f t="shared" si="5"/>
        <v>-46.8</v>
      </c>
      <c r="V72" s="212"/>
      <c r="W72" s="161"/>
      <c r="Y72" s="7"/>
      <c r="Z72" s="9"/>
    </row>
    <row r="73" spans="1:26" ht="12" customHeight="1" hidden="1">
      <c r="A73" s="51"/>
      <c r="B73" s="40" t="s">
        <v>122</v>
      </c>
      <c r="C73" s="31" t="s">
        <v>44</v>
      </c>
      <c r="D73" s="217" t="s">
        <v>143</v>
      </c>
      <c r="E73" s="237">
        <f>E91+E116</f>
        <v>0</v>
      </c>
      <c r="F73" s="220"/>
      <c r="G73" s="219"/>
      <c r="H73" s="98"/>
      <c r="I73" s="98"/>
      <c r="J73" s="365"/>
      <c r="K73" s="90">
        <f t="shared" si="7"/>
        <v>-100</v>
      </c>
      <c r="L73" s="220">
        <f>L116</f>
        <v>0</v>
      </c>
      <c r="M73" s="90"/>
      <c r="N73" s="91">
        <f t="shared" si="8"/>
        <v>0</v>
      </c>
      <c r="O73" s="106"/>
      <c r="P73" s="220">
        <f>P116</f>
        <v>0</v>
      </c>
      <c r="Q73" s="212"/>
      <c r="R73" s="220">
        <f>R116</f>
        <v>0</v>
      </c>
      <c r="S73" s="212">
        <f t="shared" si="6"/>
        <v>-100</v>
      </c>
      <c r="T73" s="212">
        <f t="shared" si="9"/>
        <v>-100</v>
      </c>
      <c r="U73" s="211">
        <f aca="true" t="shared" si="10" ref="U73:U130">R73-J73</f>
        <v>0</v>
      </c>
      <c r="V73" s="212"/>
      <c r="W73" s="161"/>
      <c r="Y73" s="7"/>
      <c r="Z73" s="9"/>
    </row>
    <row r="74" spans="1:26" ht="12" customHeight="1" hidden="1">
      <c r="A74" s="51"/>
      <c r="B74" s="40" t="s">
        <v>123</v>
      </c>
      <c r="C74" s="31" t="s">
        <v>44</v>
      </c>
      <c r="D74" s="217" t="s">
        <v>143</v>
      </c>
      <c r="E74" s="237">
        <f>E97+E122</f>
        <v>0</v>
      </c>
      <c r="F74" s="220"/>
      <c r="G74" s="219"/>
      <c r="H74" s="98"/>
      <c r="I74" s="98"/>
      <c r="J74" s="365"/>
      <c r="K74" s="90">
        <f t="shared" si="7"/>
        <v>-100</v>
      </c>
      <c r="L74" s="220">
        <f>L122</f>
        <v>0</v>
      </c>
      <c r="M74" s="90"/>
      <c r="N74" s="91">
        <f t="shared" si="8"/>
        <v>0</v>
      </c>
      <c r="O74" s="106"/>
      <c r="P74" s="220">
        <f>P122</f>
        <v>0</v>
      </c>
      <c r="Q74" s="212"/>
      <c r="R74" s="220">
        <f>R122</f>
        <v>0</v>
      </c>
      <c r="S74" s="212">
        <f aca="true" t="shared" si="11" ref="S74:S137">R74/(P74+1E-106)*100-100</f>
        <v>-100</v>
      </c>
      <c r="T74" s="212">
        <f t="shared" si="9"/>
        <v>-100</v>
      </c>
      <c r="U74" s="211">
        <f t="shared" si="10"/>
        <v>0</v>
      </c>
      <c r="V74" s="212"/>
      <c r="W74" s="161"/>
      <c r="Y74" s="7"/>
      <c r="Z74" s="9"/>
    </row>
    <row r="75" spans="1:26" ht="12" customHeight="1" hidden="1">
      <c r="A75" s="51"/>
      <c r="B75" s="39" t="s">
        <v>156</v>
      </c>
      <c r="C75" s="31"/>
      <c r="D75" s="214"/>
      <c r="E75" s="215"/>
      <c r="F75" s="214"/>
      <c r="G75" s="386"/>
      <c r="H75" s="98"/>
      <c r="I75" s="98"/>
      <c r="J75" s="365"/>
      <c r="K75" s="90"/>
      <c r="L75" s="213"/>
      <c r="M75" s="90"/>
      <c r="N75" s="91"/>
      <c r="O75" s="106"/>
      <c r="P75" s="256"/>
      <c r="Q75" s="212"/>
      <c r="R75" s="256"/>
      <c r="S75" s="212">
        <f t="shared" si="11"/>
        <v>-100</v>
      </c>
      <c r="T75" s="212">
        <f t="shared" si="9"/>
        <v>-100</v>
      </c>
      <c r="U75" s="211">
        <f t="shared" si="10"/>
        <v>0</v>
      </c>
      <c r="V75" s="212"/>
      <c r="W75" s="161"/>
      <c r="Y75" s="7"/>
      <c r="Z75" s="9"/>
    </row>
    <row r="76" spans="1:26" ht="12" customHeight="1" hidden="1">
      <c r="A76" s="51" t="s">
        <v>62</v>
      </c>
      <c r="B76" s="39" t="s">
        <v>157</v>
      </c>
      <c r="C76" s="31" t="s">
        <v>44</v>
      </c>
      <c r="D76" s="257">
        <f>D79+D85+D91+D97</f>
        <v>0</v>
      </c>
      <c r="E76" s="258">
        <f>E79+E85+E91+E97</f>
        <v>0</v>
      </c>
      <c r="F76" s="257">
        <v>6407.65</v>
      </c>
      <c r="G76" s="258"/>
      <c r="H76" s="157">
        <v>440.5</v>
      </c>
      <c r="I76" s="157"/>
      <c r="J76" s="370">
        <v>0</v>
      </c>
      <c r="K76" s="90">
        <f>J76/(H76+1E-133)*100-100</f>
        <v>-100</v>
      </c>
      <c r="L76" s="259">
        <f>L79+L85+L91+L97</f>
        <v>0</v>
      </c>
      <c r="M76" s="90">
        <f>L76/(H76+1E-106)*100-100</f>
        <v>-100</v>
      </c>
      <c r="N76" s="91">
        <f>L76-J76</f>
        <v>0</v>
      </c>
      <c r="O76" s="106"/>
      <c r="P76" s="256">
        <f>P79+P85+P91+P97</f>
        <v>269.7</v>
      </c>
      <c r="Q76" s="212">
        <f>P76/(H76+1E-106)*100-100</f>
        <v>-38.8</v>
      </c>
      <c r="R76" s="256">
        <f>R79+R85+R91+R97</f>
        <v>269.7</v>
      </c>
      <c r="S76" s="212">
        <f t="shared" si="11"/>
        <v>0</v>
      </c>
      <c r="T76" s="212">
        <f t="shared" si="9"/>
        <v>-38.8</v>
      </c>
      <c r="U76" s="211">
        <f t="shared" si="10"/>
        <v>269.7</v>
      </c>
      <c r="V76" s="212"/>
      <c r="W76" s="161"/>
      <c r="Y76" s="7"/>
      <c r="Z76" s="9"/>
    </row>
    <row r="77" spans="1:26" ht="12" customHeight="1" hidden="1">
      <c r="A77" s="51"/>
      <c r="B77" s="40" t="s">
        <v>159</v>
      </c>
      <c r="C77" s="147"/>
      <c r="D77" s="214">
        <v>100</v>
      </c>
      <c r="E77" s="225">
        <f>(E79+E85+E91+E97)/(E70+1E-122)*100</f>
        <v>0</v>
      </c>
      <c r="F77" s="217">
        <v>100</v>
      </c>
      <c r="G77" s="218"/>
      <c r="H77" s="98">
        <v>100</v>
      </c>
      <c r="I77" s="98"/>
      <c r="J77" s="365"/>
      <c r="K77" s="90"/>
      <c r="L77" s="213"/>
      <c r="M77" s="90"/>
      <c r="N77" s="91"/>
      <c r="O77" s="106"/>
      <c r="P77" s="256"/>
      <c r="Q77" s="212"/>
      <c r="R77" s="256"/>
      <c r="S77" s="212">
        <f t="shared" si="11"/>
        <v>-100</v>
      </c>
      <c r="T77" s="212">
        <f t="shared" si="9"/>
        <v>-100</v>
      </c>
      <c r="U77" s="211">
        <f t="shared" si="10"/>
        <v>0</v>
      </c>
      <c r="V77" s="212"/>
      <c r="W77" s="161"/>
      <c r="Y77" s="7"/>
      <c r="Z77" s="9"/>
    </row>
    <row r="78" spans="1:26" ht="12" customHeight="1">
      <c r="A78" s="1" t="s">
        <v>62</v>
      </c>
      <c r="B78" s="39" t="s">
        <v>120</v>
      </c>
      <c r="C78" s="31"/>
      <c r="D78" s="217"/>
      <c r="E78" s="225"/>
      <c r="F78" s="217"/>
      <c r="G78" s="218"/>
      <c r="H78" s="105"/>
      <c r="I78" s="105"/>
      <c r="J78" s="226"/>
      <c r="K78" s="106"/>
      <c r="L78" s="220"/>
      <c r="M78" s="90"/>
      <c r="N78" s="91"/>
      <c r="O78" s="106"/>
      <c r="P78" s="256"/>
      <c r="Q78" s="212"/>
      <c r="R78" s="256"/>
      <c r="S78" s="212"/>
      <c r="T78" s="212"/>
      <c r="U78" s="211"/>
      <c r="V78" s="212"/>
      <c r="W78" s="161"/>
      <c r="Y78" s="7"/>
      <c r="Z78" s="9"/>
    </row>
    <row r="79" spans="1:26" ht="12" customHeight="1">
      <c r="A79" s="1"/>
      <c r="B79" s="40" t="s">
        <v>28</v>
      </c>
      <c r="C79" s="31" t="s">
        <v>44</v>
      </c>
      <c r="D79" s="214"/>
      <c r="E79" s="215"/>
      <c r="F79" s="214">
        <v>6407.65</v>
      </c>
      <c r="G79" s="386">
        <v>345.1</v>
      </c>
      <c r="H79" s="105">
        <f>H69*H9/1000</f>
        <v>269.68</v>
      </c>
      <c r="I79" s="105">
        <v>345.1</v>
      </c>
      <c r="J79" s="107">
        <f>J69*J9/1000</f>
        <v>345.1</v>
      </c>
      <c r="K79" s="90">
        <f>J79/(H79+1E-133)*100-100</f>
        <v>28</v>
      </c>
      <c r="L79" s="220"/>
      <c r="M79" s="90">
        <f>L79/(H79+1E-106)*100-100</f>
        <v>-100</v>
      </c>
      <c r="N79" s="91">
        <f>L79-J79</f>
        <v>-345.1</v>
      </c>
      <c r="O79" s="106"/>
      <c r="P79" s="256">
        <f>P69*P9/1000</f>
        <v>269.7</v>
      </c>
      <c r="Q79" s="212">
        <f>P79/(H79+1E-106)*100-100</f>
        <v>0</v>
      </c>
      <c r="R79" s="256">
        <f>P79</f>
        <v>269.7</v>
      </c>
      <c r="S79" s="212">
        <f t="shared" si="11"/>
        <v>0</v>
      </c>
      <c r="T79" s="212">
        <f aca="true" t="shared" si="12" ref="T79:T126">R79/(H79+1E-106)*100-100</f>
        <v>0</v>
      </c>
      <c r="U79" s="211">
        <f t="shared" si="10"/>
        <v>-75.4</v>
      </c>
      <c r="V79" s="212"/>
      <c r="W79" s="161"/>
      <c r="Y79" s="7"/>
      <c r="Z79" s="9"/>
    </row>
    <row r="80" spans="1:26" ht="12" customHeight="1">
      <c r="A80" s="51"/>
      <c r="B80" s="39" t="s">
        <v>33</v>
      </c>
      <c r="C80" s="52" t="s">
        <v>45</v>
      </c>
      <c r="D80" s="247"/>
      <c r="E80" s="248">
        <f>E142/(E79+1E-107)</f>
        <v>0</v>
      </c>
      <c r="F80" s="204">
        <v>3.81</v>
      </c>
      <c r="G80" s="255">
        <v>3.86</v>
      </c>
      <c r="H80" s="126">
        <v>3.1</v>
      </c>
      <c r="I80" s="126">
        <v>3.86</v>
      </c>
      <c r="J80" s="366">
        <f>G80*1.08</f>
        <v>4.17</v>
      </c>
      <c r="K80" s="249">
        <f>J80/(H80+1E-133)*100-100</f>
        <v>34.52</v>
      </c>
      <c r="L80" s="247"/>
      <c r="M80" s="249">
        <f>L80/(H80+1E-106)*100-100</f>
        <v>-100</v>
      </c>
      <c r="N80" s="249">
        <f>L80-J80</f>
        <v>-4.17</v>
      </c>
      <c r="O80" s="248"/>
      <c r="P80" s="229">
        <v>3.1</v>
      </c>
      <c r="Q80" s="205">
        <f>P80/(H80+1E-106)*100-100</f>
        <v>0</v>
      </c>
      <c r="R80" s="229">
        <f>P80*1.08</f>
        <v>3.35</v>
      </c>
      <c r="S80" s="205">
        <f t="shared" si="11"/>
        <v>8.06</v>
      </c>
      <c r="T80" s="205">
        <f t="shared" si="12"/>
        <v>8.06</v>
      </c>
      <c r="U80" s="207">
        <f t="shared" si="10"/>
        <v>-0.8</v>
      </c>
      <c r="V80" s="205"/>
      <c r="W80" s="238" t="s">
        <v>237</v>
      </c>
      <c r="Y80" s="7"/>
      <c r="Z80" s="9"/>
    </row>
    <row r="81" spans="1:26" ht="12" customHeight="1" hidden="1">
      <c r="A81" s="1"/>
      <c r="B81" s="40" t="s">
        <v>147</v>
      </c>
      <c r="C81" s="31" t="s">
        <v>132</v>
      </c>
      <c r="D81" s="214"/>
      <c r="E81" s="215"/>
      <c r="F81" s="214">
        <v>8040</v>
      </c>
      <c r="G81" s="386"/>
      <c r="H81" s="109">
        <v>8040</v>
      </c>
      <c r="I81" s="109"/>
      <c r="J81" s="365"/>
      <c r="K81" s="90"/>
      <c r="L81" s="213"/>
      <c r="M81" s="90"/>
      <c r="N81" s="91"/>
      <c r="O81" s="106"/>
      <c r="P81" s="260"/>
      <c r="Q81" s="211"/>
      <c r="R81" s="260"/>
      <c r="S81" s="212">
        <f t="shared" si="11"/>
        <v>-100</v>
      </c>
      <c r="T81" s="212">
        <f t="shared" si="12"/>
        <v>-100</v>
      </c>
      <c r="U81" s="211">
        <f t="shared" si="10"/>
        <v>0</v>
      </c>
      <c r="V81" s="211"/>
      <c r="W81" s="77"/>
      <c r="Y81" s="7"/>
      <c r="Z81" s="9"/>
    </row>
    <row r="82" spans="1:26" ht="12" customHeight="1" hidden="1">
      <c r="A82" s="1"/>
      <c r="B82" s="40" t="s">
        <v>188</v>
      </c>
      <c r="C82" s="150" t="s">
        <v>161</v>
      </c>
      <c r="D82" s="217" t="s">
        <v>160</v>
      </c>
      <c r="E82" s="225" t="s">
        <v>160</v>
      </c>
      <c r="F82" s="217"/>
      <c r="G82" s="218"/>
      <c r="H82" s="109"/>
      <c r="I82" s="109"/>
      <c r="J82" s="365"/>
      <c r="K82" s="90">
        <f>J82/(H82+1E-133)*100-100</f>
        <v>-100</v>
      </c>
      <c r="L82" s="213"/>
      <c r="M82" s="90">
        <f>L82/(H82+1E-106)*100-100</f>
        <v>-100</v>
      </c>
      <c r="N82" s="91">
        <f>L82-J82</f>
        <v>0</v>
      </c>
      <c r="O82" s="106"/>
      <c r="P82" s="260"/>
      <c r="Q82" s="211">
        <f>P82/(H82+1E-106)*100-100</f>
        <v>-100</v>
      </c>
      <c r="R82" s="260"/>
      <c r="S82" s="212">
        <f t="shared" si="11"/>
        <v>-100</v>
      </c>
      <c r="T82" s="212">
        <f t="shared" si="12"/>
        <v>-100</v>
      </c>
      <c r="U82" s="211">
        <f t="shared" si="10"/>
        <v>0</v>
      </c>
      <c r="V82" s="211"/>
      <c r="W82" s="77"/>
      <c r="Y82" s="7"/>
      <c r="Z82" s="9"/>
    </row>
    <row r="83" spans="1:26" ht="12" customHeight="1" hidden="1">
      <c r="A83" s="1"/>
      <c r="B83" s="40" t="s">
        <v>182</v>
      </c>
      <c r="C83" s="31" t="s">
        <v>162</v>
      </c>
      <c r="D83" s="217" t="s">
        <v>160</v>
      </c>
      <c r="E83" s="225" t="s">
        <v>160</v>
      </c>
      <c r="F83" s="217">
        <v>731</v>
      </c>
      <c r="G83" s="218"/>
      <c r="H83" s="358"/>
      <c r="I83" s="358"/>
      <c r="J83" s="365"/>
      <c r="K83" s="90">
        <f>J83/(H83+1E-133)*100-100</f>
        <v>-100</v>
      </c>
      <c r="L83" s="213"/>
      <c r="M83" s="90">
        <f>L83/(H83+1E-106)*100-100</f>
        <v>-100</v>
      </c>
      <c r="N83" s="91">
        <f>L83-J83</f>
        <v>0</v>
      </c>
      <c r="O83" s="106"/>
      <c r="P83" s="260"/>
      <c r="Q83" s="211">
        <f>P83/(H83+1E-106)*100-100</f>
        <v>-100</v>
      </c>
      <c r="R83" s="260"/>
      <c r="S83" s="212">
        <f t="shared" si="11"/>
        <v>-100</v>
      </c>
      <c r="T83" s="212">
        <f t="shared" si="12"/>
        <v>-100</v>
      </c>
      <c r="U83" s="211">
        <f t="shared" si="10"/>
        <v>0</v>
      </c>
      <c r="V83" s="211"/>
      <c r="W83" s="77"/>
      <c r="Y83" s="7"/>
      <c r="Z83" s="9"/>
    </row>
    <row r="84" spans="1:26" ht="12" customHeight="1" hidden="1">
      <c r="A84" s="1" t="s">
        <v>62</v>
      </c>
      <c r="B84" s="39" t="s">
        <v>121</v>
      </c>
      <c r="C84" s="31"/>
      <c r="D84" s="217"/>
      <c r="E84" s="225"/>
      <c r="F84" s="217"/>
      <c r="G84" s="218"/>
      <c r="H84" s="148"/>
      <c r="I84" s="148"/>
      <c r="J84" s="226"/>
      <c r="K84" s="106"/>
      <c r="L84" s="220"/>
      <c r="M84" s="90"/>
      <c r="N84" s="91"/>
      <c r="O84" s="106"/>
      <c r="P84" s="260"/>
      <c r="Q84" s="211"/>
      <c r="R84" s="260"/>
      <c r="S84" s="212">
        <f t="shared" si="11"/>
        <v>-100</v>
      </c>
      <c r="T84" s="212">
        <f t="shared" si="12"/>
        <v>-100</v>
      </c>
      <c r="U84" s="211">
        <f t="shared" si="10"/>
        <v>0</v>
      </c>
      <c r="V84" s="211"/>
      <c r="W84" s="77"/>
      <c r="Y84" s="7"/>
      <c r="Z84" s="9"/>
    </row>
    <row r="85" spans="1:26" ht="12" customHeight="1" hidden="1">
      <c r="A85" s="1"/>
      <c r="B85" s="40" t="s">
        <v>28</v>
      </c>
      <c r="C85" s="31" t="s">
        <v>44</v>
      </c>
      <c r="D85" s="214"/>
      <c r="E85" s="215"/>
      <c r="F85" s="214">
        <v>0</v>
      </c>
      <c r="G85" s="386"/>
      <c r="H85" s="105">
        <v>0</v>
      </c>
      <c r="I85" s="105"/>
      <c r="J85" s="226">
        <v>0</v>
      </c>
      <c r="K85" s="90">
        <f>J85/(H85+1E-133)*100-100</f>
        <v>-100</v>
      </c>
      <c r="L85" s="220"/>
      <c r="M85" s="90">
        <f>L85/(H85+1E-106)*100-100</f>
        <v>-100</v>
      </c>
      <c r="N85" s="91">
        <f>L85-J85</f>
        <v>0</v>
      </c>
      <c r="O85" s="106"/>
      <c r="P85" s="260"/>
      <c r="Q85" s="211">
        <f>P85/(H85+1E-106)*100-100</f>
        <v>-100</v>
      </c>
      <c r="R85" s="260"/>
      <c r="S85" s="212">
        <f t="shared" si="11"/>
        <v>-100</v>
      </c>
      <c r="T85" s="212">
        <f t="shared" si="12"/>
        <v>-100</v>
      </c>
      <c r="U85" s="211">
        <f t="shared" si="10"/>
        <v>0</v>
      </c>
      <c r="V85" s="211"/>
      <c r="W85" s="77"/>
      <c r="Y85" s="7"/>
      <c r="Z85" s="9"/>
    </row>
    <row r="86" spans="1:26" s="250" customFormat="1" ht="12" customHeight="1" hidden="1">
      <c r="A86" s="51"/>
      <c r="B86" s="39" t="s">
        <v>33</v>
      </c>
      <c r="C86" s="52" t="s">
        <v>45</v>
      </c>
      <c r="D86" s="261"/>
      <c r="E86" s="262">
        <f>E143/(E85+1E-107)</f>
        <v>0</v>
      </c>
      <c r="F86" s="360"/>
      <c r="G86" s="388"/>
      <c r="H86" s="109"/>
      <c r="I86" s="109"/>
      <c r="J86" s="365"/>
      <c r="K86" s="88">
        <f>J86/(H86+1E-133)*100-100</f>
        <v>-100</v>
      </c>
      <c r="L86" s="247"/>
      <c r="M86" s="88">
        <f>L86/(H86+1E-106)*100-100</f>
        <v>-100</v>
      </c>
      <c r="N86" s="89">
        <f>L86-J86</f>
        <v>0</v>
      </c>
      <c r="O86" s="87"/>
      <c r="P86" s="263"/>
      <c r="Q86" s="264">
        <f>P86/(H86+1E-106)*100-100</f>
        <v>-100</v>
      </c>
      <c r="R86" s="263"/>
      <c r="S86" s="206">
        <f t="shared" si="11"/>
        <v>-100</v>
      </c>
      <c r="T86" s="206">
        <f t="shared" si="12"/>
        <v>-100</v>
      </c>
      <c r="U86" s="207">
        <f t="shared" si="10"/>
        <v>0</v>
      </c>
      <c r="V86" s="264"/>
      <c r="W86" s="77"/>
      <c r="Z86" s="251"/>
    </row>
    <row r="87" spans="1:26" ht="12" customHeight="1" hidden="1">
      <c r="A87" s="1"/>
      <c r="B87" s="40" t="s">
        <v>147</v>
      </c>
      <c r="C87" s="31" t="s">
        <v>132</v>
      </c>
      <c r="D87" s="214"/>
      <c r="E87" s="215"/>
      <c r="F87" s="214"/>
      <c r="G87" s="386"/>
      <c r="H87" s="109"/>
      <c r="I87" s="109"/>
      <c r="J87" s="365"/>
      <c r="K87" s="90"/>
      <c r="L87" s="213"/>
      <c r="M87" s="90"/>
      <c r="N87" s="91"/>
      <c r="O87" s="106"/>
      <c r="P87" s="260"/>
      <c r="Q87" s="211"/>
      <c r="R87" s="260"/>
      <c r="S87" s="212">
        <f t="shared" si="11"/>
        <v>-100</v>
      </c>
      <c r="T87" s="212">
        <f t="shared" si="12"/>
        <v>-100</v>
      </c>
      <c r="U87" s="211">
        <f t="shared" si="10"/>
        <v>0</v>
      </c>
      <c r="V87" s="211"/>
      <c r="W87" s="77"/>
      <c r="Y87" s="7"/>
      <c r="Z87" s="9"/>
    </row>
    <row r="88" spans="1:26" ht="12" customHeight="1" hidden="1">
      <c r="A88" s="1"/>
      <c r="B88" s="40" t="s">
        <v>188</v>
      </c>
      <c r="C88" s="150" t="s">
        <v>161</v>
      </c>
      <c r="D88" s="217" t="s">
        <v>160</v>
      </c>
      <c r="E88" s="225" t="s">
        <v>160</v>
      </c>
      <c r="F88" s="217"/>
      <c r="G88" s="218"/>
      <c r="H88" s="109"/>
      <c r="I88" s="109"/>
      <c r="J88" s="365"/>
      <c r="K88" s="90">
        <f>J88/(H88+1E-133)*100-100</f>
        <v>-100</v>
      </c>
      <c r="L88" s="213"/>
      <c r="M88" s="90">
        <f>L88/(H88+1E-106)*100-100</f>
        <v>-100</v>
      </c>
      <c r="N88" s="91">
        <f>L88-J88</f>
        <v>0</v>
      </c>
      <c r="O88" s="106"/>
      <c r="P88" s="260"/>
      <c r="Q88" s="211">
        <f>P88/(H88+1E-106)*100-100</f>
        <v>-100</v>
      </c>
      <c r="R88" s="260"/>
      <c r="S88" s="212">
        <f t="shared" si="11"/>
        <v>-100</v>
      </c>
      <c r="T88" s="212">
        <f t="shared" si="12"/>
        <v>-100</v>
      </c>
      <c r="U88" s="211">
        <f t="shared" si="10"/>
        <v>0</v>
      </c>
      <c r="V88" s="211"/>
      <c r="W88" s="77"/>
      <c r="Y88" s="7"/>
      <c r="Z88" s="9"/>
    </row>
    <row r="89" spans="1:26" ht="12" customHeight="1" hidden="1">
      <c r="A89" s="1"/>
      <c r="B89" s="40" t="s">
        <v>182</v>
      </c>
      <c r="C89" s="31" t="s">
        <v>162</v>
      </c>
      <c r="D89" s="217" t="s">
        <v>160</v>
      </c>
      <c r="E89" s="225" t="s">
        <v>160</v>
      </c>
      <c r="F89" s="217"/>
      <c r="G89" s="218"/>
      <c r="H89" s="109"/>
      <c r="I89" s="109"/>
      <c r="J89" s="365"/>
      <c r="K89" s="90">
        <f>J89/(H89+1E-133)*100-100</f>
        <v>-100</v>
      </c>
      <c r="L89" s="213"/>
      <c r="M89" s="90">
        <f>L89/(H89+1E-106)*100-100</f>
        <v>-100</v>
      </c>
      <c r="N89" s="91">
        <f>L89-J89</f>
        <v>0</v>
      </c>
      <c r="O89" s="106"/>
      <c r="P89" s="260"/>
      <c r="Q89" s="211">
        <f>P89/(H89+1E-106)*100-100</f>
        <v>-100</v>
      </c>
      <c r="R89" s="260"/>
      <c r="S89" s="212">
        <f t="shared" si="11"/>
        <v>-100</v>
      </c>
      <c r="T89" s="212">
        <f t="shared" si="12"/>
        <v>-100</v>
      </c>
      <c r="U89" s="211">
        <f t="shared" si="10"/>
        <v>0</v>
      </c>
      <c r="V89" s="211"/>
      <c r="W89" s="77"/>
      <c r="Y89" s="7"/>
      <c r="Z89" s="9"/>
    </row>
    <row r="90" spans="1:26" ht="12" customHeight="1" hidden="1">
      <c r="A90" s="1" t="s">
        <v>62</v>
      </c>
      <c r="B90" s="39" t="s">
        <v>122</v>
      </c>
      <c r="C90" s="31"/>
      <c r="D90" s="217"/>
      <c r="E90" s="225"/>
      <c r="F90" s="217"/>
      <c r="G90" s="218"/>
      <c r="H90" s="148"/>
      <c r="I90" s="148"/>
      <c r="J90" s="226"/>
      <c r="K90" s="106"/>
      <c r="L90" s="220"/>
      <c r="M90" s="90"/>
      <c r="N90" s="91"/>
      <c r="O90" s="106"/>
      <c r="P90" s="260"/>
      <c r="Q90" s="211"/>
      <c r="R90" s="260"/>
      <c r="S90" s="212">
        <f t="shared" si="11"/>
        <v>-100</v>
      </c>
      <c r="T90" s="212">
        <f t="shared" si="12"/>
        <v>-100</v>
      </c>
      <c r="U90" s="211">
        <f t="shared" si="10"/>
        <v>0</v>
      </c>
      <c r="V90" s="211"/>
      <c r="W90" s="77"/>
      <c r="Y90" s="7"/>
      <c r="Z90" s="9"/>
    </row>
    <row r="91" spans="1:26" ht="12" customHeight="1" hidden="1">
      <c r="A91" s="1"/>
      <c r="B91" s="40" t="s">
        <v>28</v>
      </c>
      <c r="C91" s="31" t="s">
        <v>44</v>
      </c>
      <c r="D91" s="214"/>
      <c r="E91" s="215"/>
      <c r="F91" s="214">
        <v>0</v>
      </c>
      <c r="G91" s="386"/>
      <c r="H91" s="105">
        <v>0</v>
      </c>
      <c r="I91" s="105"/>
      <c r="J91" s="226">
        <v>0</v>
      </c>
      <c r="K91" s="90">
        <f>J91/(H91+1E-133)*100-100</f>
        <v>-100</v>
      </c>
      <c r="L91" s="220"/>
      <c r="M91" s="90">
        <f>L91/(H91+1E-106)*100-100</f>
        <v>-100</v>
      </c>
      <c r="N91" s="91">
        <f>L91-J91</f>
        <v>0</v>
      </c>
      <c r="O91" s="106"/>
      <c r="P91" s="260"/>
      <c r="Q91" s="211">
        <f>P91/(H91+1E-106)*100-100</f>
        <v>-100</v>
      </c>
      <c r="R91" s="260"/>
      <c r="S91" s="212">
        <f t="shared" si="11"/>
        <v>-100</v>
      </c>
      <c r="T91" s="212">
        <f t="shared" si="12"/>
        <v>-100</v>
      </c>
      <c r="U91" s="211">
        <f t="shared" si="10"/>
        <v>0</v>
      </c>
      <c r="V91" s="211"/>
      <c r="W91" s="77"/>
      <c r="Y91" s="7"/>
      <c r="Z91" s="9"/>
    </row>
    <row r="92" spans="1:26" s="250" customFormat="1" ht="12" customHeight="1" hidden="1">
      <c r="A92" s="51"/>
      <c r="B92" s="39" t="s">
        <v>33</v>
      </c>
      <c r="C92" s="52" t="s">
        <v>45</v>
      </c>
      <c r="D92" s="261"/>
      <c r="E92" s="262">
        <f>E144/(E91+1E-107)</f>
        <v>0</v>
      </c>
      <c r="F92" s="360"/>
      <c r="G92" s="388"/>
      <c r="H92" s="109"/>
      <c r="I92" s="109"/>
      <c r="J92" s="365"/>
      <c r="K92" s="88">
        <f>J92/(H92+1E-133)*100-100</f>
        <v>-100</v>
      </c>
      <c r="L92" s="247"/>
      <c r="M92" s="88">
        <f>L92/(H92+1E-106)*100-100</f>
        <v>-100</v>
      </c>
      <c r="N92" s="89">
        <f>L92-J92</f>
        <v>0</v>
      </c>
      <c r="O92" s="87"/>
      <c r="P92" s="229"/>
      <c r="Q92" s="205">
        <f>P92/(H92+1E-106)*100-100</f>
        <v>-100</v>
      </c>
      <c r="R92" s="229"/>
      <c r="S92" s="206">
        <f t="shared" si="11"/>
        <v>-100</v>
      </c>
      <c r="T92" s="206">
        <f t="shared" si="12"/>
        <v>-100</v>
      </c>
      <c r="U92" s="207">
        <f t="shared" si="10"/>
        <v>0</v>
      </c>
      <c r="V92" s="205"/>
      <c r="W92" s="77"/>
      <c r="Z92" s="251"/>
    </row>
    <row r="93" spans="1:26" ht="12" customHeight="1" hidden="1">
      <c r="A93" s="1"/>
      <c r="B93" s="40" t="s">
        <v>147</v>
      </c>
      <c r="C93" s="31" t="s">
        <v>132</v>
      </c>
      <c r="D93" s="214"/>
      <c r="E93" s="215"/>
      <c r="F93" s="214"/>
      <c r="G93" s="386"/>
      <c r="H93" s="109"/>
      <c r="I93" s="109"/>
      <c r="J93" s="365"/>
      <c r="K93" s="90"/>
      <c r="L93" s="213"/>
      <c r="M93" s="90"/>
      <c r="N93" s="91"/>
      <c r="O93" s="106"/>
      <c r="P93" s="260"/>
      <c r="Q93" s="211"/>
      <c r="R93" s="260"/>
      <c r="S93" s="212">
        <f t="shared" si="11"/>
        <v>-100</v>
      </c>
      <c r="T93" s="212">
        <f t="shared" si="12"/>
        <v>-100</v>
      </c>
      <c r="U93" s="211">
        <f t="shared" si="10"/>
        <v>0</v>
      </c>
      <c r="V93" s="211"/>
      <c r="W93" s="77"/>
      <c r="Y93" s="7"/>
      <c r="Z93" s="9"/>
    </row>
    <row r="94" spans="1:26" ht="12" customHeight="1" hidden="1">
      <c r="A94" s="1"/>
      <c r="B94" s="40" t="s">
        <v>188</v>
      </c>
      <c r="C94" s="150" t="s">
        <v>161</v>
      </c>
      <c r="D94" s="217" t="s">
        <v>160</v>
      </c>
      <c r="E94" s="225" t="s">
        <v>160</v>
      </c>
      <c r="F94" s="217"/>
      <c r="G94" s="218"/>
      <c r="H94" s="109"/>
      <c r="I94" s="109"/>
      <c r="J94" s="365"/>
      <c r="K94" s="90">
        <f>J94/(H94+1E-133)*100-100</f>
        <v>-100</v>
      </c>
      <c r="L94" s="213"/>
      <c r="M94" s="90">
        <f>L94/(H94+1E-106)*100-100</f>
        <v>-100</v>
      </c>
      <c r="N94" s="91">
        <f>L94-J94</f>
        <v>0</v>
      </c>
      <c r="O94" s="106"/>
      <c r="P94" s="260"/>
      <c r="Q94" s="211">
        <f>P94/(H94+1E-106)*100-100</f>
        <v>-100</v>
      </c>
      <c r="R94" s="260"/>
      <c r="S94" s="212">
        <f t="shared" si="11"/>
        <v>-100</v>
      </c>
      <c r="T94" s="212">
        <f t="shared" si="12"/>
        <v>-100</v>
      </c>
      <c r="U94" s="211">
        <f t="shared" si="10"/>
        <v>0</v>
      </c>
      <c r="V94" s="211"/>
      <c r="W94" s="77"/>
      <c r="Y94" s="7"/>
      <c r="Z94" s="9"/>
    </row>
    <row r="95" spans="1:26" ht="12" customHeight="1" hidden="1">
      <c r="A95" s="1"/>
      <c r="B95" s="40" t="s">
        <v>182</v>
      </c>
      <c r="C95" s="31" t="s">
        <v>162</v>
      </c>
      <c r="D95" s="217" t="s">
        <v>160</v>
      </c>
      <c r="E95" s="225" t="s">
        <v>160</v>
      </c>
      <c r="F95" s="217"/>
      <c r="G95" s="218"/>
      <c r="H95" s="109"/>
      <c r="I95" s="109"/>
      <c r="J95" s="365"/>
      <c r="K95" s="90">
        <f>J95/(H95+1E-133)*100-100</f>
        <v>-100</v>
      </c>
      <c r="L95" s="213"/>
      <c r="M95" s="90">
        <f>L95/(H95+1E-106)*100-100</f>
        <v>-100</v>
      </c>
      <c r="N95" s="91">
        <f>L95-J95</f>
        <v>0</v>
      </c>
      <c r="O95" s="106"/>
      <c r="P95" s="260"/>
      <c r="Q95" s="211">
        <f>P95/(H95+1E-106)*100-100</f>
        <v>-100</v>
      </c>
      <c r="R95" s="260"/>
      <c r="S95" s="212">
        <f t="shared" si="11"/>
        <v>-100</v>
      </c>
      <c r="T95" s="212">
        <f t="shared" si="12"/>
        <v>-100</v>
      </c>
      <c r="U95" s="211">
        <f t="shared" si="10"/>
        <v>0</v>
      </c>
      <c r="V95" s="211"/>
      <c r="W95" s="77"/>
      <c r="Y95" s="7"/>
      <c r="Z95" s="9"/>
    </row>
    <row r="96" spans="1:26" ht="12" customHeight="1" hidden="1">
      <c r="A96" s="1" t="s">
        <v>62</v>
      </c>
      <c r="B96" s="39" t="s">
        <v>123</v>
      </c>
      <c r="C96" s="31"/>
      <c r="D96" s="217"/>
      <c r="E96" s="225"/>
      <c r="F96" s="217"/>
      <c r="G96" s="218"/>
      <c r="H96" s="148"/>
      <c r="I96" s="148"/>
      <c r="J96" s="226"/>
      <c r="K96" s="106"/>
      <c r="L96" s="220"/>
      <c r="M96" s="90"/>
      <c r="N96" s="91"/>
      <c r="O96" s="106"/>
      <c r="P96" s="260"/>
      <c r="Q96" s="211"/>
      <c r="R96" s="260"/>
      <c r="S96" s="212"/>
      <c r="T96" s="212"/>
      <c r="U96" s="211"/>
      <c r="V96" s="211"/>
      <c r="W96" s="77"/>
      <c r="Y96" s="7"/>
      <c r="Z96" s="9"/>
    </row>
    <row r="97" spans="1:26" ht="12" customHeight="1" hidden="1">
      <c r="A97" s="1"/>
      <c r="B97" s="40" t="s">
        <v>28</v>
      </c>
      <c r="C97" s="31" t="s">
        <v>44</v>
      </c>
      <c r="D97" s="214"/>
      <c r="E97" s="215"/>
      <c r="F97" s="214">
        <v>0</v>
      </c>
      <c r="G97" s="386"/>
      <c r="H97" s="105">
        <v>0</v>
      </c>
      <c r="I97" s="105"/>
      <c r="J97" s="226">
        <f>H97</f>
        <v>0</v>
      </c>
      <c r="K97" s="90">
        <f>J97/(H97+1E-133)*100-100</f>
        <v>-100</v>
      </c>
      <c r="L97" s="220"/>
      <c r="M97" s="90">
        <f>L97/(H97+1E-106)*100-100</f>
        <v>-100</v>
      </c>
      <c r="N97" s="91">
        <f>L97-J97</f>
        <v>0</v>
      </c>
      <c r="O97" s="106"/>
      <c r="P97" s="260">
        <f>H97</f>
        <v>0</v>
      </c>
      <c r="Q97" s="211">
        <f>P97/(H97+1E-106)*100-100</f>
        <v>-100</v>
      </c>
      <c r="R97" s="260">
        <f>P97</f>
        <v>0</v>
      </c>
      <c r="S97" s="212">
        <f t="shared" si="11"/>
        <v>-100</v>
      </c>
      <c r="T97" s="212">
        <f t="shared" si="12"/>
        <v>-100</v>
      </c>
      <c r="U97" s="211">
        <f t="shared" si="10"/>
        <v>0</v>
      </c>
      <c r="V97" s="211"/>
      <c r="W97" s="77"/>
      <c r="Y97" s="7"/>
      <c r="Z97" s="9"/>
    </row>
    <row r="98" spans="1:26" s="250" customFormat="1" ht="12" customHeight="1" hidden="1">
      <c r="A98" s="51"/>
      <c r="B98" s="39" t="s">
        <v>33</v>
      </c>
      <c r="C98" s="52" t="s">
        <v>45</v>
      </c>
      <c r="D98" s="261"/>
      <c r="E98" s="262">
        <f>E145/(E97+1E-107)</f>
        <v>0</v>
      </c>
      <c r="F98" s="360"/>
      <c r="G98" s="388"/>
      <c r="H98" s="109"/>
      <c r="I98" s="109"/>
      <c r="J98" s="365">
        <f>R98</f>
        <v>0</v>
      </c>
      <c r="K98" s="88">
        <f>J98/(H98+1E-133)*100-100</f>
        <v>-100</v>
      </c>
      <c r="L98" s="247"/>
      <c r="M98" s="88">
        <f>L98/(H98+1E-106)*100-100</f>
        <v>-100</v>
      </c>
      <c r="N98" s="89">
        <f>L98-J98</f>
        <v>0</v>
      </c>
      <c r="O98" s="87"/>
      <c r="P98" s="263">
        <f>H98</f>
        <v>0</v>
      </c>
      <c r="Q98" s="264">
        <f>P98/(H98+1E-106)*100-100</f>
        <v>-100</v>
      </c>
      <c r="R98" s="229">
        <f>H98*1.08</f>
        <v>0</v>
      </c>
      <c r="S98" s="206">
        <f t="shared" si="11"/>
        <v>-100</v>
      </c>
      <c r="T98" s="206">
        <f t="shared" si="12"/>
        <v>-100</v>
      </c>
      <c r="U98" s="207">
        <f t="shared" si="10"/>
        <v>0</v>
      </c>
      <c r="V98" s="264"/>
      <c r="W98" s="238" t="s">
        <v>210</v>
      </c>
      <c r="Z98" s="251"/>
    </row>
    <row r="99" spans="1:26" ht="12" customHeight="1" hidden="1">
      <c r="A99" s="1"/>
      <c r="B99" s="40" t="s">
        <v>147</v>
      </c>
      <c r="C99" s="31" t="s">
        <v>132</v>
      </c>
      <c r="D99" s="214"/>
      <c r="E99" s="215"/>
      <c r="F99" s="214"/>
      <c r="G99" s="386"/>
      <c r="H99" s="109"/>
      <c r="I99" s="109"/>
      <c r="J99" s="365"/>
      <c r="K99" s="90"/>
      <c r="L99" s="213"/>
      <c r="M99" s="90"/>
      <c r="N99" s="91"/>
      <c r="O99" s="106"/>
      <c r="P99" s="260"/>
      <c r="Q99" s="211"/>
      <c r="R99" s="260"/>
      <c r="S99" s="212">
        <f t="shared" si="11"/>
        <v>-100</v>
      </c>
      <c r="T99" s="212">
        <f t="shared" si="12"/>
        <v>-100</v>
      </c>
      <c r="U99" s="211">
        <f t="shared" si="10"/>
        <v>0</v>
      </c>
      <c r="V99" s="211"/>
      <c r="W99" s="77"/>
      <c r="Y99" s="7"/>
      <c r="Z99" s="9"/>
    </row>
    <row r="100" spans="1:26" ht="12" customHeight="1" hidden="1">
      <c r="A100" s="1"/>
      <c r="B100" s="40" t="s">
        <v>188</v>
      </c>
      <c r="C100" s="150" t="s">
        <v>161</v>
      </c>
      <c r="D100" s="217" t="s">
        <v>160</v>
      </c>
      <c r="E100" s="225" t="s">
        <v>160</v>
      </c>
      <c r="F100" s="217"/>
      <c r="G100" s="218"/>
      <c r="H100" s="109"/>
      <c r="I100" s="109"/>
      <c r="J100" s="365"/>
      <c r="K100" s="90">
        <f>J100/(H100+1E-133)*100-100</f>
        <v>-100</v>
      </c>
      <c r="L100" s="213"/>
      <c r="M100" s="90">
        <f>L100/(H100+1E-106)*100-100</f>
        <v>-100</v>
      </c>
      <c r="N100" s="91">
        <f>L100-J100</f>
        <v>0</v>
      </c>
      <c r="O100" s="106"/>
      <c r="P100" s="260"/>
      <c r="Q100" s="211">
        <f>P100/(H100+1E-106)*100-100</f>
        <v>-100</v>
      </c>
      <c r="R100" s="260"/>
      <c r="S100" s="212">
        <f t="shared" si="11"/>
        <v>-100</v>
      </c>
      <c r="T100" s="212">
        <f t="shared" si="12"/>
        <v>-100</v>
      </c>
      <c r="U100" s="211">
        <f t="shared" si="10"/>
        <v>0</v>
      </c>
      <c r="V100" s="211"/>
      <c r="W100" s="77"/>
      <c r="Y100" s="7"/>
      <c r="Z100" s="9"/>
    </row>
    <row r="101" spans="1:26" ht="12" customHeight="1" hidden="1">
      <c r="A101" s="1"/>
      <c r="B101" s="40" t="s">
        <v>182</v>
      </c>
      <c r="C101" s="31" t="s">
        <v>162</v>
      </c>
      <c r="D101" s="217" t="s">
        <v>160</v>
      </c>
      <c r="E101" s="225" t="s">
        <v>160</v>
      </c>
      <c r="F101" s="217"/>
      <c r="G101" s="218"/>
      <c r="H101" s="109"/>
      <c r="I101" s="109"/>
      <c r="J101" s="365"/>
      <c r="K101" s="90">
        <f>J101/(H101+1E-133)*100-100</f>
        <v>-100</v>
      </c>
      <c r="L101" s="213"/>
      <c r="M101" s="90">
        <f>L101/(H101+1E-106)*100-100</f>
        <v>-100</v>
      </c>
      <c r="N101" s="91">
        <f>L101-J101</f>
        <v>0</v>
      </c>
      <c r="O101" s="106"/>
      <c r="P101" s="260"/>
      <c r="Q101" s="211">
        <f>P101/(H101+1E-106)*100-100</f>
        <v>-100</v>
      </c>
      <c r="R101" s="260"/>
      <c r="S101" s="212">
        <f t="shared" si="11"/>
        <v>-100</v>
      </c>
      <c r="T101" s="212">
        <f t="shared" si="12"/>
        <v>-100</v>
      </c>
      <c r="U101" s="211">
        <f t="shared" si="10"/>
        <v>0</v>
      </c>
      <c r="V101" s="211"/>
      <c r="W101" s="77"/>
      <c r="Y101" s="7"/>
      <c r="Z101" s="9"/>
    </row>
    <row r="102" spans="1:26" ht="12" customHeight="1" hidden="1">
      <c r="A102" s="1" t="s">
        <v>62</v>
      </c>
      <c r="B102" s="39" t="s">
        <v>142</v>
      </c>
      <c r="C102" s="31" t="s">
        <v>44</v>
      </c>
      <c r="D102" s="257">
        <f>D104+D110+D116+D122</f>
        <v>0</v>
      </c>
      <c r="E102" s="258">
        <f>E104+E110+E116+E122</f>
        <v>0</v>
      </c>
      <c r="F102" s="257">
        <v>0</v>
      </c>
      <c r="G102" s="258"/>
      <c r="H102" s="157">
        <v>0</v>
      </c>
      <c r="I102" s="157"/>
      <c r="J102" s="370">
        <v>46.81</v>
      </c>
      <c r="K102" s="92"/>
      <c r="L102" s="259">
        <f>L104+L110+L116+L122</f>
        <v>0</v>
      </c>
      <c r="M102" s="106"/>
      <c r="N102" s="92"/>
      <c r="O102" s="106"/>
      <c r="P102" s="260">
        <f>P104+P110+P116+P122</f>
        <v>269.68</v>
      </c>
      <c r="Q102" s="211"/>
      <c r="R102" s="260">
        <f>R104+R110+R116+R122</f>
        <v>0</v>
      </c>
      <c r="S102" s="212">
        <f t="shared" si="11"/>
        <v>-100</v>
      </c>
      <c r="T102" s="212">
        <f t="shared" si="12"/>
        <v>-100</v>
      </c>
      <c r="U102" s="211">
        <f t="shared" si="10"/>
        <v>-46.8</v>
      </c>
      <c r="V102" s="211"/>
      <c r="W102" s="77"/>
      <c r="Y102" s="7"/>
      <c r="Z102" s="9"/>
    </row>
    <row r="103" spans="1:26" ht="12" customHeight="1" hidden="1">
      <c r="A103" s="1" t="s">
        <v>62</v>
      </c>
      <c r="B103" s="39" t="s">
        <v>120</v>
      </c>
      <c r="C103" s="31"/>
      <c r="D103" s="217"/>
      <c r="E103" s="225"/>
      <c r="F103" s="217"/>
      <c r="G103" s="218"/>
      <c r="H103" s="105"/>
      <c r="I103" s="105"/>
      <c r="J103" s="226"/>
      <c r="K103" s="92"/>
      <c r="L103" s="220"/>
      <c r="M103" s="106"/>
      <c r="N103" s="92"/>
      <c r="O103" s="106"/>
      <c r="P103" s="260"/>
      <c r="Q103" s="211"/>
      <c r="R103" s="260"/>
      <c r="S103" s="212">
        <f t="shared" si="11"/>
        <v>-100</v>
      </c>
      <c r="T103" s="212">
        <f t="shared" si="12"/>
        <v>-100</v>
      </c>
      <c r="U103" s="211">
        <f t="shared" si="10"/>
        <v>0</v>
      </c>
      <c r="V103" s="211"/>
      <c r="W103" s="77"/>
      <c r="Y103" s="7"/>
      <c r="Z103" s="9"/>
    </row>
    <row r="104" spans="1:26" ht="12" customHeight="1" hidden="1">
      <c r="A104" s="1"/>
      <c r="B104" s="40" t="s">
        <v>28</v>
      </c>
      <c r="C104" s="31" t="s">
        <v>44</v>
      </c>
      <c r="D104" s="214"/>
      <c r="E104" s="215"/>
      <c r="F104" s="214">
        <v>0</v>
      </c>
      <c r="G104" s="386"/>
      <c r="H104" s="105">
        <v>0</v>
      </c>
      <c r="I104" s="105"/>
      <c r="J104" s="226">
        <v>0</v>
      </c>
      <c r="K104" s="90">
        <f>J104/(H104+1E-133)*100-100</f>
        <v>-100</v>
      </c>
      <c r="L104" s="220"/>
      <c r="M104" s="90">
        <f>L104/(H104+1E-106)*100-100</f>
        <v>-100</v>
      </c>
      <c r="N104" s="91">
        <f>L104-J104</f>
        <v>0</v>
      </c>
      <c r="O104" s="106"/>
      <c r="P104" s="260"/>
      <c r="Q104" s="211">
        <f>P104/(H104+1E-106)*100-100</f>
        <v>-100</v>
      </c>
      <c r="R104" s="260"/>
      <c r="S104" s="212">
        <f t="shared" si="11"/>
        <v>-100</v>
      </c>
      <c r="T104" s="212">
        <f t="shared" si="12"/>
        <v>-100</v>
      </c>
      <c r="U104" s="211">
        <f t="shared" si="10"/>
        <v>0</v>
      </c>
      <c r="V104" s="211"/>
      <c r="W104" s="77"/>
      <c r="Y104" s="7"/>
      <c r="Z104" s="9"/>
    </row>
    <row r="105" spans="1:26" s="250" customFormat="1" ht="12" customHeight="1" hidden="1">
      <c r="A105" s="51"/>
      <c r="B105" s="39" t="s">
        <v>33</v>
      </c>
      <c r="C105" s="52" t="s">
        <v>45</v>
      </c>
      <c r="D105" s="261"/>
      <c r="E105" s="262">
        <f>E147/(E104+1E-107)</f>
        <v>0</v>
      </c>
      <c r="F105" s="360"/>
      <c r="G105" s="388"/>
      <c r="H105" s="98"/>
      <c r="I105" s="98"/>
      <c r="J105" s="365"/>
      <c r="K105" s="88">
        <f>J105/(H105+1E-133)*100-100</f>
        <v>-100</v>
      </c>
      <c r="L105" s="247"/>
      <c r="M105" s="88">
        <f>L105/(H105+1E-106)*100-100</f>
        <v>-100</v>
      </c>
      <c r="N105" s="89">
        <f>L105-J105</f>
        <v>0</v>
      </c>
      <c r="O105" s="87"/>
      <c r="P105" s="229"/>
      <c r="Q105" s="205">
        <f>P105/(H105+1E-106)*100-100</f>
        <v>-100</v>
      </c>
      <c r="R105" s="229"/>
      <c r="S105" s="206">
        <f t="shared" si="11"/>
        <v>-100</v>
      </c>
      <c r="T105" s="206">
        <f t="shared" si="12"/>
        <v>-100</v>
      </c>
      <c r="U105" s="207">
        <f t="shared" si="10"/>
        <v>0</v>
      </c>
      <c r="V105" s="205"/>
      <c r="W105" s="77"/>
      <c r="Z105" s="251"/>
    </row>
    <row r="106" spans="1:26" ht="12" customHeight="1" hidden="1">
      <c r="A106" s="1"/>
      <c r="B106" s="40" t="s">
        <v>147</v>
      </c>
      <c r="C106" s="31" t="s">
        <v>132</v>
      </c>
      <c r="D106" s="214"/>
      <c r="E106" s="215"/>
      <c r="F106" s="214"/>
      <c r="G106" s="386"/>
      <c r="H106" s="98"/>
      <c r="I106" s="98"/>
      <c r="J106" s="365"/>
      <c r="K106" s="91"/>
      <c r="L106" s="213"/>
      <c r="M106" s="106"/>
      <c r="N106" s="92"/>
      <c r="O106" s="106"/>
      <c r="P106" s="260"/>
      <c r="Q106" s="211"/>
      <c r="R106" s="260"/>
      <c r="S106" s="212">
        <f t="shared" si="11"/>
        <v>-100</v>
      </c>
      <c r="T106" s="212">
        <f t="shared" si="12"/>
        <v>-100</v>
      </c>
      <c r="U106" s="211">
        <f t="shared" si="10"/>
        <v>0</v>
      </c>
      <c r="V106" s="211"/>
      <c r="W106" s="77"/>
      <c r="Y106" s="7"/>
      <c r="Z106" s="9"/>
    </row>
    <row r="107" spans="1:26" ht="12" customHeight="1" hidden="1">
      <c r="A107" s="1"/>
      <c r="B107" s="40" t="s">
        <v>188</v>
      </c>
      <c r="C107" s="150" t="s">
        <v>161</v>
      </c>
      <c r="D107" s="217" t="s">
        <v>160</v>
      </c>
      <c r="E107" s="225" t="s">
        <v>160</v>
      </c>
      <c r="F107" s="217"/>
      <c r="G107" s="218"/>
      <c r="H107" s="98"/>
      <c r="I107" s="98"/>
      <c r="J107" s="365"/>
      <c r="K107" s="90">
        <f>J107/(H107+1E-133)*100-100</f>
        <v>-100</v>
      </c>
      <c r="L107" s="213"/>
      <c r="M107" s="90">
        <f>L107/(H107+1E-106)*100-100</f>
        <v>-100</v>
      </c>
      <c r="N107" s="91">
        <f>L107-J107</f>
        <v>0</v>
      </c>
      <c r="O107" s="106"/>
      <c r="P107" s="260"/>
      <c r="Q107" s="211">
        <f>P107/(H107+1E-106)*100-100</f>
        <v>-100</v>
      </c>
      <c r="R107" s="260"/>
      <c r="S107" s="212">
        <f t="shared" si="11"/>
        <v>-100</v>
      </c>
      <c r="T107" s="212">
        <f t="shared" si="12"/>
        <v>-100</v>
      </c>
      <c r="U107" s="211">
        <f t="shared" si="10"/>
        <v>0</v>
      </c>
      <c r="V107" s="211"/>
      <c r="W107" s="77"/>
      <c r="Y107" s="7"/>
      <c r="Z107" s="9"/>
    </row>
    <row r="108" spans="1:26" ht="12" customHeight="1" hidden="1">
      <c r="A108" s="1"/>
      <c r="B108" s="40" t="s">
        <v>182</v>
      </c>
      <c r="C108" s="31" t="s">
        <v>162</v>
      </c>
      <c r="D108" s="217" t="s">
        <v>160</v>
      </c>
      <c r="E108" s="225" t="s">
        <v>160</v>
      </c>
      <c r="F108" s="217"/>
      <c r="G108" s="218"/>
      <c r="H108" s="98"/>
      <c r="I108" s="98"/>
      <c r="J108" s="365"/>
      <c r="K108" s="90">
        <f>J108/(H108+1E-133)*100-100</f>
        <v>-100</v>
      </c>
      <c r="L108" s="213"/>
      <c r="M108" s="90">
        <f>L108/(H108+1E-106)*100-100</f>
        <v>-100</v>
      </c>
      <c r="N108" s="91">
        <f>L108-J108</f>
        <v>0</v>
      </c>
      <c r="O108" s="106"/>
      <c r="P108" s="260"/>
      <c r="Q108" s="211">
        <f>P108/(H108+1E-106)*100-100</f>
        <v>-100</v>
      </c>
      <c r="R108" s="260"/>
      <c r="S108" s="212">
        <f t="shared" si="11"/>
        <v>-100</v>
      </c>
      <c r="T108" s="212">
        <f t="shared" si="12"/>
        <v>-100</v>
      </c>
      <c r="U108" s="211">
        <f t="shared" si="10"/>
        <v>0</v>
      </c>
      <c r="V108" s="211"/>
      <c r="W108" s="77"/>
      <c r="Y108" s="7"/>
      <c r="Z108" s="9"/>
    </row>
    <row r="109" spans="1:26" ht="12" customHeight="1" hidden="1">
      <c r="A109" s="1" t="s">
        <v>62</v>
      </c>
      <c r="B109" s="39" t="s">
        <v>121</v>
      </c>
      <c r="C109" s="31"/>
      <c r="D109" s="217"/>
      <c r="E109" s="225"/>
      <c r="F109" s="217"/>
      <c r="G109" s="218"/>
      <c r="H109" s="105"/>
      <c r="I109" s="105"/>
      <c r="J109" s="226"/>
      <c r="K109" s="92"/>
      <c r="L109" s="220"/>
      <c r="M109" s="106"/>
      <c r="N109" s="92"/>
      <c r="O109" s="106"/>
      <c r="P109" s="260"/>
      <c r="Q109" s="211"/>
      <c r="R109" s="260"/>
      <c r="S109" s="212">
        <f t="shared" si="11"/>
        <v>-100</v>
      </c>
      <c r="T109" s="212">
        <f t="shared" si="12"/>
        <v>-100</v>
      </c>
      <c r="U109" s="211">
        <f t="shared" si="10"/>
        <v>0</v>
      </c>
      <c r="V109" s="211"/>
      <c r="W109" s="77"/>
      <c r="Y109" s="7"/>
      <c r="Z109" s="9"/>
    </row>
    <row r="110" spans="1:26" ht="12" customHeight="1" hidden="1">
      <c r="A110" s="1"/>
      <c r="B110" s="40" t="s">
        <v>28</v>
      </c>
      <c r="C110" s="31" t="s">
        <v>44</v>
      </c>
      <c r="D110" s="214"/>
      <c r="E110" s="215"/>
      <c r="F110" s="214">
        <v>0</v>
      </c>
      <c r="G110" s="386"/>
      <c r="H110" s="105">
        <v>0</v>
      </c>
      <c r="I110" s="105"/>
      <c r="J110" s="226">
        <f>H110</f>
        <v>0</v>
      </c>
      <c r="K110" s="90">
        <f>J110/(H110+1E-133)*100-100</f>
        <v>-100</v>
      </c>
      <c r="L110" s="220"/>
      <c r="M110" s="90">
        <f>L110/(H110+1E-106)*100-100</f>
        <v>-100</v>
      </c>
      <c r="N110" s="91">
        <f>L110-J110</f>
        <v>0</v>
      </c>
      <c r="O110" s="106"/>
      <c r="P110" s="260">
        <f>P69*P9/1000</f>
        <v>269.68</v>
      </c>
      <c r="Q110" s="211">
        <f>P110/(H110+1E-106)*100-100</f>
        <v>2.6968E+110</v>
      </c>
      <c r="R110" s="260">
        <f>H110</f>
        <v>0</v>
      </c>
      <c r="S110" s="212">
        <f t="shared" si="11"/>
        <v>-100</v>
      </c>
      <c r="T110" s="212">
        <f t="shared" si="12"/>
        <v>-100</v>
      </c>
      <c r="U110" s="211">
        <f t="shared" si="10"/>
        <v>0</v>
      </c>
      <c r="V110" s="211"/>
      <c r="W110" s="77"/>
      <c r="Y110" s="7"/>
      <c r="Z110" s="9"/>
    </row>
    <row r="111" spans="1:26" s="250" customFormat="1" ht="12" customHeight="1" hidden="1">
      <c r="A111" s="51"/>
      <c r="B111" s="39" t="s">
        <v>33</v>
      </c>
      <c r="C111" s="52" t="s">
        <v>45</v>
      </c>
      <c r="D111" s="261"/>
      <c r="E111" s="262">
        <f>E148/(E110+1E-107)</f>
        <v>0</v>
      </c>
      <c r="F111" s="360"/>
      <c r="G111" s="388"/>
      <c r="H111" s="98"/>
      <c r="I111" s="98"/>
      <c r="J111" s="369">
        <f>R111</f>
        <v>0</v>
      </c>
      <c r="K111" s="88">
        <f>J111/(H111+1E-133)*100-100</f>
        <v>-100</v>
      </c>
      <c r="L111" s="247"/>
      <c r="M111" s="88">
        <f>L111/(H111+1E-106)*100-100</f>
        <v>-100</v>
      </c>
      <c r="N111" s="89">
        <f>L111-J111</f>
        <v>0</v>
      </c>
      <c r="O111" s="87"/>
      <c r="P111" s="229">
        <f>R111</f>
        <v>0</v>
      </c>
      <c r="Q111" s="205">
        <f>P111/(H111+1E-106)*100-100</f>
        <v>-100</v>
      </c>
      <c r="R111" s="229">
        <f>H111*1.08</f>
        <v>0</v>
      </c>
      <c r="S111" s="206">
        <f t="shared" si="11"/>
        <v>-100</v>
      </c>
      <c r="T111" s="206">
        <f t="shared" si="12"/>
        <v>-100</v>
      </c>
      <c r="U111" s="207">
        <f t="shared" si="10"/>
        <v>0</v>
      </c>
      <c r="V111" s="207"/>
      <c r="W111" s="238" t="s">
        <v>210</v>
      </c>
      <c r="Z111" s="251"/>
    </row>
    <row r="112" spans="1:26" ht="12" customHeight="1" hidden="1">
      <c r="A112" s="1"/>
      <c r="B112" s="40" t="s">
        <v>147</v>
      </c>
      <c r="C112" s="31" t="s">
        <v>132</v>
      </c>
      <c r="D112" s="214"/>
      <c r="E112" s="215"/>
      <c r="F112" s="214">
        <v>8040</v>
      </c>
      <c r="G112" s="386"/>
      <c r="H112" s="98"/>
      <c r="I112" s="98"/>
      <c r="J112" s="365"/>
      <c r="K112" s="91"/>
      <c r="L112" s="213"/>
      <c r="M112" s="106"/>
      <c r="N112" s="92"/>
      <c r="O112" s="106"/>
      <c r="P112" s="260"/>
      <c r="Q112" s="211"/>
      <c r="R112" s="260"/>
      <c r="S112" s="212">
        <f t="shared" si="11"/>
        <v>-100</v>
      </c>
      <c r="T112" s="212">
        <f t="shared" si="12"/>
        <v>-100</v>
      </c>
      <c r="U112" s="211">
        <f t="shared" si="10"/>
        <v>0</v>
      </c>
      <c r="V112" s="211"/>
      <c r="W112" s="77"/>
      <c r="Y112" s="7"/>
      <c r="Z112" s="9"/>
    </row>
    <row r="113" spans="1:26" ht="12" customHeight="1" hidden="1">
      <c r="A113" s="1"/>
      <c r="B113" s="40" t="s">
        <v>188</v>
      </c>
      <c r="C113" s="150" t="s">
        <v>161</v>
      </c>
      <c r="D113" s="217" t="s">
        <v>160</v>
      </c>
      <c r="E113" s="225" t="s">
        <v>160</v>
      </c>
      <c r="F113" s="217"/>
      <c r="G113" s="218"/>
      <c r="H113" s="98"/>
      <c r="I113" s="98"/>
      <c r="J113" s="365"/>
      <c r="K113" s="90">
        <f>J113/(H113+1E-133)*100-100</f>
        <v>-100</v>
      </c>
      <c r="L113" s="213"/>
      <c r="M113" s="90">
        <f>L113/(H113+1E-106)*100-100</f>
        <v>-100</v>
      </c>
      <c r="N113" s="91">
        <f>L113-J113</f>
        <v>0</v>
      </c>
      <c r="O113" s="106"/>
      <c r="P113" s="260"/>
      <c r="Q113" s="211">
        <f>P113/(H113+1E-106)*100-100</f>
        <v>-100</v>
      </c>
      <c r="R113" s="260"/>
      <c r="S113" s="212">
        <f t="shared" si="11"/>
        <v>-100</v>
      </c>
      <c r="T113" s="212">
        <f t="shared" si="12"/>
        <v>-100</v>
      </c>
      <c r="U113" s="211">
        <f t="shared" si="10"/>
        <v>0</v>
      </c>
      <c r="V113" s="211"/>
      <c r="W113" s="77"/>
      <c r="Y113" s="7"/>
      <c r="Z113" s="9"/>
    </row>
    <row r="114" spans="1:26" ht="12" customHeight="1" hidden="1">
      <c r="A114" s="1"/>
      <c r="B114" s="40" t="s">
        <v>182</v>
      </c>
      <c r="C114" s="31" t="s">
        <v>162</v>
      </c>
      <c r="D114" s="217" t="s">
        <v>160</v>
      </c>
      <c r="E114" s="225" t="s">
        <v>160</v>
      </c>
      <c r="F114" s="217"/>
      <c r="G114" s="218"/>
      <c r="H114" s="98"/>
      <c r="I114" s="98"/>
      <c r="J114" s="365"/>
      <c r="K114" s="90">
        <f>J114/(H114+1E-133)*100-100</f>
        <v>-100</v>
      </c>
      <c r="L114" s="213"/>
      <c r="M114" s="90">
        <f>L114/(H114+1E-106)*100-100</f>
        <v>-100</v>
      </c>
      <c r="N114" s="91">
        <f>L114-J114</f>
        <v>0</v>
      </c>
      <c r="O114" s="106"/>
      <c r="P114" s="260"/>
      <c r="Q114" s="211">
        <f>P114/(H114+1E-106)*100-100</f>
        <v>-100</v>
      </c>
      <c r="R114" s="260"/>
      <c r="S114" s="212">
        <f t="shared" si="11"/>
        <v>-100</v>
      </c>
      <c r="T114" s="212">
        <f t="shared" si="12"/>
        <v>-100</v>
      </c>
      <c r="U114" s="211">
        <f t="shared" si="10"/>
        <v>0</v>
      </c>
      <c r="V114" s="211"/>
      <c r="W114" s="77"/>
      <c r="Y114" s="7"/>
      <c r="Z114" s="9"/>
    </row>
    <row r="115" spans="1:26" ht="12" customHeight="1" hidden="1">
      <c r="A115" s="1" t="s">
        <v>62</v>
      </c>
      <c r="B115" s="39" t="s">
        <v>122</v>
      </c>
      <c r="C115" s="31"/>
      <c r="D115" s="217"/>
      <c r="E115" s="225"/>
      <c r="F115" s="217"/>
      <c r="G115" s="218"/>
      <c r="H115" s="105"/>
      <c r="I115" s="105"/>
      <c r="J115" s="226"/>
      <c r="K115" s="92"/>
      <c r="L115" s="220"/>
      <c r="M115" s="106"/>
      <c r="N115" s="92"/>
      <c r="O115" s="106"/>
      <c r="P115" s="260"/>
      <c r="Q115" s="211"/>
      <c r="R115" s="260"/>
      <c r="S115" s="212">
        <f t="shared" si="11"/>
        <v>-100</v>
      </c>
      <c r="T115" s="212">
        <f t="shared" si="12"/>
        <v>-100</v>
      </c>
      <c r="U115" s="211">
        <f t="shared" si="10"/>
        <v>0</v>
      </c>
      <c r="V115" s="211"/>
      <c r="W115" s="77"/>
      <c r="Y115" s="7"/>
      <c r="Z115" s="9"/>
    </row>
    <row r="116" spans="1:26" ht="12" customHeight="1" hidden="1">
      <c r="A116" s="1"/>
      <c r="B116" s="40" t="s">
        <v>28</v>
      </c>
      <c r="C116" s="31" t="s">
        <v>44</v>
      </c>
      <c r="D116" s="214"/>
      <c r="E116" s="215"/>
      <c r="F116" s="214">
        <v>0</v>
      </c>
      <c r="G116" s="386"/>
      <c r="H116" s="105">
        <v>0</v>
      </c>
      <c r="I116" s="105"/>
      <c r="J116" s="226">
        <v>0</v>
      </c>
      <c r="K116" s="90">
        <f>J116/(H116+1E-133)*100-100</f>
        <v>-100</v>
      </c>
      <c r="L116" s="220"/>
      <c r="M116" s="90">
        <f>L116/(H116+1E-106)*100-100</f>
        <v>-100</v>
      </c>
      <c r="N116" s="91">
        <f>L116-J116</f>
        <v>0</v>
      </c>
      <c r="O116" s="106"/>
      <c r="P116" s="260"/>
      <c r="Q116" s="211">
        <f>P116/(H116+1E-106)*100-100</f>
        <v>-100</v>
      </c>
      <c r="R116" s="260"/>
      <c r="S116" s="212">
        <f t="shared" si="11"/>
        <v>-100</v>
      </c>
      <c r="T116" s="212">
        <f t="shared" si="12"/>
        <v>-100</v>
      </c>
      <c r="U116" s="211">
        <f t="shared" si="10"/>
        <v>0</v>
      </c>
      <c r="V116" s="211"/>
      <c r="W116" s="77"/>
      <c r="Y116" s="7"/>
      <c r="Z116" s="9"/>
    </row>
    <row r="117" spans="1:26" s="250" customFormat="1" ht="12" customHeight="1" hidden="1">
      <c r="A117" s="51"/>
      <c r="B117" s="39" t="s">
        <v>33</v>
      </c>
      <c r="C117" s="52" t="s">
        <v>45</v>
      </c>
      <c r="D117" s="261"/>
      <c r="E117" s="262">
        <f>E149/(E116+1E-107)</f>
        <v>0</v>
      </c>
      <c r="F117" s="360"/>
      <c r="G117" s="388"/>
      <c r="H117" s="98"/>
      <c r="I117" s="98"/>
      <c r="J117" s="365"/>
      <c r="K117" s="88">
        <f>J117/(H117+1E-133)*100-100</f>
        <v>-100</v>
      </c>
      <c r="L117" s="247"/>
      <c r="M117" s="88">
        <f>L117/(H117+1E-106)*100-100</f>
        <v>-100</v>
      </c>
      <c r="N117" s="89">
        <f>L117-J117</f>
        <v>0</v>
      </c>
      <c r="O117" s="87"/>
      <c r="P117" s="229"/>
      <c r="Q117" s="205">
        <f>P117/(H117+1E-106)*100-100</f>
        <v>-100</v>
      </c>
      <c r="R117" s="229"/>
      <c r="S117" s="206">
        <f t="shared" si="11"/>
        <v>-100</v>
      </c>
      <c r="T117" s="206">
        <f t="shared" si="12"/>
        <v>-100</v>
      </c>
      <c r="U117" s="207">
        <f t="shared" si="10"/>
        <v>0</v>
      </c>
      <c r="V117" s="205"/>
      <c r="W117" s="77"/>
      <c r="Z117" s="251"/>
    </row>
    <row r="118" spans="1:26" ht="12" customHeight="1" hidden="1">
      <c r="A118" s="1"/>
      <c r="B118" s="40" t="s">
        <v>147</v>
      </c>
      <c r="C118" s="31" t="s">
        <v>132</v>
      </c>
      <c r="D118" s="214"/>
      <c r="E118" s="215"/>
      <c r="F118" s="214"/>
      <c r="G118" s="386"/>
      <c r="H118" s="98"/>
      <c r="I118" s="98"/>
      <c r="J118" s="365"/>
      <c r="K118" s="91"/>
      <c r="L118" s="213"/>
      <c r="M118" s="106"/>
      <c r="N118" s="92"/>
      <c r="O118" s="106"/>
      <c r="P118" s="260"/>
      <c r="Q118" s="211"/>
      <c r="R118" s="260"/>
      <c r="S118" s="212">
        <f t="shared" si="11"/>
        <v>-100</v>
      </c>
      <c r="T118" s="212">
        <f t="shared" si="12"/>
        <v>-100</v>
      </c>
      <c r="U118" s="211">
        <f t="shared" si="10"/>
        <v>0</v>
      </c>
      <c r="V118" s="211"/>
      <c r="W118" s="77"/>
      <c r="Y118" s="7"/>
      <c r="Z118" s="9"/>
    </row>
    <row r="119" spans="1:26" ht="12" customHeight="1" hidden="1">
      <c r="A119" s="1"/>
      <c r="B119" s="40" t="s">
        <v>188</v>
      </c>
      <c r="C119" s="150" t="s">
        <v>161</v>
      </c>
      <c r="D119" s="217" t="s">
        <v>160</v>
      </c>
      <c r="E119" s="225" t="s">
        <v>160</v>
      </c>
      <c r="F119" s="217"/>
      <c r="G119" s="218"/>
      <c r="H119" s="98"/>
      <c r="I119" s="98"/>
      <c r="J119" s="365"/>
      <c r="K119" s="90">
        <f>J119/(H119+1E-133)*100-100</f>
        <v>-100</v>
      </c>
      <c r="L119" s="213"/>
      <c r="M119" s="90">
        <f>L119/(H119+1E-106)*100-100</f>
        <v>-100</v>
      </c>
      <c r="N119" s="91">
        <f>L119-J119</f>
        <v>0</v>
      </c>
      <c r="O119" s="106"/>
      <c r="P119" s="260"/>
      <c r="Q119" s="211">
        <f>P119/(H119+1E-106)*100-100</f>
        <v>-100</v>
      </c>
      <c r="R119" s="260"/>
      <c r="S119" s="212">
        <f t="shared" si="11"/>
        <v>-100</v>
      </c>
      <c r="T119" s="212">
        <f t="shared" si="12"/>
        <v>-100</v>
      </c>
      <c r="U119" s="211">
        <f t="shared" si="10"/>
        <v>0</v>
      </c>
      <c r="V119" s="211"/>
      <c r="W119" s="77"/>
      <c r="Y119" s="7"/>
      <c r="Z119" s="9"/>
    </row>
    <row r="120" spans="1:26" ht="12" customHeight="1" hidden="1">
      <c r="A120" s="1"/>
      <c r="B120" s="40" t="s">
        <v>182</v>
      </c>
      <c r="C120" s="31" t="s">
        <v>162</v>
      </c>
      <c r="D120" s="217" t="s">
        <v>160</v>
      </c>
      <c r="E120" s="225" t="s">
        <v>160</v>
      </c>
      <c r="F120" s="217"/>
      <c r="G120" s="218"/>
      <c r="H120" s="98"/>
      <c r="I120" s="98"/>
      <c r="J120" s="365"/>
      <c r="K120" s="90">
        <f>J120/(H120+1E-133)*100-100</f>
        <v>-100</v>
      </c>
      <c r="L120" s="213"/>
      <c r="M120" s="90">
        <f>L120/(H120+1E-106)*100-100</f>
        <v>-100</v>
      </c>
      <c r="N120" s="91">
        <f>L120-J120</f>
        <v>0</v>
      </c>
      <c r="O120" s="106"/>
      <c r="P120" s="260"/>
      <c r="Q120" s="211">
        <f>P120/(H120+1E-106)*100-100</f>
        <v>-100</v>
      </c>
      <c r="R120" s="260"/>
      <c r="S120" s="212">
        <f t="shared" si="11"/>
        <v>-100</v>
      </c>
      <c r="T120" s="212">
        <f t="shared" si="12"/>
        <v>-100</v>
      </c>
      <c r="U120" s="211">
        <f t="shared" si="10"/>
        <v>0</v>
      </c>
      <c r="V120" s="211"/>
      <c r="W120" s="77"/>
      <c r="Y120" s="7"/>
      <c r="Z120" s="9"/>
    </row>
    <row r="121" spans="1:26" ht="12" customHeight="1" hidden="1">
      <c r="A121" s="1" t="s">
        <v>62</v>
      </c>
      <c r="B121" s="39" t="s">
        <v>123</v>
      </c>
      <c r="C121" s="31"/>
      <c r="D121" s="217"/>
      <c r="E121" s="225"/>
      <c r="F121" s="217"/>
      <c r="G121" s="218"/>
      <c r="H121" s="105"/>
      <c r="I121" s="105"/>
      <c r="J121" s="226"/>
      <c r="K121" s="92"/>
      <c r="L121" s="220"/>
      <c r="M121" s="106"/>
      <c r="N121" s="92"/>
      <c r="O121" s="106"/>
      <c r="P121" s="260"/>
      <c r="Q121" s="211"/>
      <c r="R121" s="260"/>
      <c r="S121" s="212">
        <f t="shared" si="11"/>
        <v>-100</v>
      </c>
      <c r="T121" s="212">
        <f t="shared" si="12"/>
        <v>-100</v>
      </c>
      <c r="U121" s="211">
        <f t="shared" si="10"/>
        <v>0</v>
      </c>
      <c r="V121" s="211"/>
      <c r="W121" s="77"/>
      <c r="Y121" s="7"/>
      <c r="Z121" s="9"/>
    </row>
    <row r="122" spans="1:26" ht="12" customHeight="1" hidden="1">
      <c r="A122" s="1"/>
      <c r="B122" s="40" t="s">
        <v>28</v>
      </c>
      <c r="C122" s="31" t="s">
        <v>44</v>
      </c>
      <c r="D122" s="214"/>
      <c r="E122" s="215"/>
      <c r="F122" s="214">
        <v>0</v>
      </c>
      <c r="G122" s="386"/>
      <c r="H122" s="105">
        <v>0</v>
      </c>
      <c r="I122" s="105"/>
      <c r="J122" s="226">
        <v>0</v>
      </c>
      <c r="K122" s="90">
        <f>J122/(H122+1E-133)*100-100</f>
        <v>-100</v>
      </c>
      <c r="L122" s="220"/>
      <c r="M122" s="90">
        <f>L122/(H122+1E-106)*100-100</f>
        <v>-100</v>
      </c>
      <c r="N122" s="91">
        <f>L122-J122</f>
        <v>0</v>
      </c>
      <c r="O122" s="106"/>
      <c r="P122" s="260"/>
      <c r="Q122" s="211">
        <f>P122/(H122+1E-106)*100-100</f>
        <v>-100</v>
      </c>
      <c r="R122" s="260"/>
      <c r="S122" s="212">
        <f t="shared" si="11"/>
        <v>-100</v>
      </c>
      <c r="T122" s="212">
        <f t="shared" si="12"/>
        <v>-100</v>
      </c>
      <c r="U122" s="211">
        <f t="shared" si="10"/>
        <v>0</v>
      </c>
      <c r="V122" s="211"/>
      <c r="W122" s="77"/>
      <c r="Y122" s="7"/>
      <c r="Z122" s="9"/>
    </row>
    <row r="123" spans="1:26" s="250" customFormat="1" ht="12" customHeight="1" hidden="1">
      <c r="A123" s="51"/>
      <c r="B123" s="39" t="s">
        <v>33</v>
      </c>
      <c r="C123" s="52" t="s">
        <v>45</v>
      </c>
      <c r="D123" s="261"/>
      <c r="E123" s="262">
        <f>E150/(E122+1E-107)</f>
        <v>0</v>
      </c>
      <c r="F123" s="360"/>
      <c r="G123" s="388"/>
      <c r="H123" s="98"/>
      <c r="I123" s="98"/>
      <c r="J123" s="365"/>
      <c r="K123" s="88">
        <f>J123/(H123+1E-133)*100-100</f>
        <v>-100</v>
      </c>
      <c r="L123" s="247"/>
      <c r="M123" s="88">
        <f>L123/(H123+1E-106)*100-100</f>
        <v>-100</v>
      </c>
      <c r="N123" s="89">
        <f>L123-J123</f>
        <v>0</v>
      </c>
      <c r="O123" s="87"/>
      <c r="P123" s="229"/>
      <c r="Q123" s="205">
        <f>P123/(H123+1E-106)*100-100</f>
        <v>-100</v>
      </c>
      <c r="R123" s="229"/>
      <c r="S123" s="206">
        <f t="shared" si="11"/>
        <v>-100</v>
      </c>
      <c r="T123" s="206">
        <f t="shared" si="12"/>
        <v>-100</v>
      </c>
      <c r="U123" s="207">
        <f t="shared" si="10"/>
        <v>0</v>
      </c>
      <c r="V123" s="207"/>
      <c r="W123" s="77"/>
      <c r="Z123" s="251"/>
    </row>
    <row r="124" spans="1:26" ht="12" customHeight="1" hidden="1">
      <c r="A124" s="1"/>
      <c r="B124" s="40" t="s">
        <v>147</v>
      </c>
      <c r="C124" s="31" t="s">
        <v>132</v>
      </c>
      <c r="D124" s="214"/>
      <c r="E124" s="215"/>
      <c r="F124" s="214"/>
      <c r="G124" s="386"/>
      <c r="H124" s="98"/>
      <c r="I124" s="98"/>
      <c r="J124" s="365"/>
      <c r="K124" s="91"/>
      <c r="L124" s="213"/>
      <c r="M124" s="106"/>
      <c r="N124" s="92"/>
      <c r="O124" s="106"/>
      <c r="P124" s="260"/>
      <c r="Q124" s="211"/>
      <c r="R124" s="260"/>
      <c r="S124" s="212">
        <f t="shared" si="11"/>
        <v>-100</v>
      </c>
      <c r="T124" s="212">
        <f t="shared" si="12"/>
        <v>-100</v>
      </c>
      <c r="U124" s="211">
        <f t="shared" si="10"/>
        <v>0</v>
      </c>
      <c r="V124" s="211"/>
      <c r="W124" s="77"/>
      <c r="Y124" s="7"/>
      <c r="Z124" s="9"/>
    </row>
    <row r="125" spans="1:26" ht="12" customHeight="1" hidden="1">
      <c r="A125" s="1"/>
      <c r="B125" s="40" t="s">
        <v>188</v>
      </c>
      <c r="C125" s="150" t="s">
        <v>161</v>
      </c>
      <c r="D125" s="217" t="s">
        <v>160</v>
      </c>
      <c r="E125" s="225" t="s">
        <v>160</v>
      </c>
      <c r="F125" s="217"/>
      <c r="G125" s="218"/>
      <c r="H125" s="98"/>
      <c r="I125" s="98"/>
      <c r="J125" s="365"/>
      <c r="K125" s="90">
        <f>J125/(H125+1E-133)*100-100</f>
        <v>-100</v>
      </c>
      <c r="L125" s="213"/>
      <c r="M125" s="90">
        <f>L125/(H125+1E-106)*100-100</f>
        <v>-100</v>
      </c>
      <c r="N125" s="91">
        <f>L125-J125</f>
        <v>0</v>
      </c>
      <c r="O125" s="106"/>
      <c r="P125" s="260"/>
      <c r="Q125" s="211">
        <f>P125/(H125+1E-106)*100-100</f>
        <v>-100</v>
      </c>
      <c r="R125" s="260"/>
      <c r="S125" s="212">
        <f t="shared" si="11"/>
        <v>-100</v>
      </c>
      <c r="T125" s="212">
        <f t="shared" si="12"/>
        <v>-100</v>
      </c>
      <c r="U125" s="211">
        <f t="shared" si="10"/>
        <v>0</v>
      </c>
      <c r="V125" s="211"/>
      <c r="W125" s="77"/>
      <c r="Y125" s="7"/>
      <c r="Z125" s="9"/>
    </row>
    <row r="126" spans="1:26" ht="12" customHeight="1" hidden="1">
      <c r="A126" s="1"/>
      <c r="B126" s="40" t="s">
        <v>182</v>
      </c>
      <c r="C126" s="31" t="s">
        <v>162</v>
      </c>
      <c r="D126" s="217" t="s">
        <v>160</v>
      </c>
      <c r="E126" s="225" t="s">
        <v>160</v>
      </c>
      <c r="F126" s="217"/>
      <c r="G126" s="218"/>
      <c r="H126" s="98"/>
      <c r="I126" s="98"/>
      <c r="J126" s="365"/>
      <c r="K126" s="90">
        <f>J126/(H126+1E-133)*100-100</f>
        <v>-100</v>
      </c>
      <c r="L126" s="213"/>
      <c r="M126" s="90">
        <f>L126/(H126+1E-106)*100-100</f>
        <v>-100</v>
      </c>
      <c r="N126" s="91">
        <f>L126-J126</f>
        <v>0</v>
      </c>
      <c r="O126" s="106"/>
      <c r="P126" s="260"/>
      <c r="Q126" s="211">
        <f>P126/(H126+1E-106)*100-100</f>
        <v>-100</v>
      </c>
      <c r="R126" s="260"/>
      <c r="S126" s="212">
        <f t="shared" si="11"/>
        <v>-100</v>
      </c>
      <c r="T126" s="212">
        <f t="shared" si="12"/>
        <v>-100</v>
      </c>
      <c r="U126" s="211">
        <f t="shared" si="10"/>
        <v>0</v>
      </c>
      <c r="V126" s="211"/>
      <c r="W126" s="77"/>
      <c r="Y126" s="7"/>
      <c r="Z126" s="9"/>
    </row>
    <row r="127" spans="1:26" ht="12" customHeight="1">
      <c r="A127" s="51">
        <v>9</v>
      </c>
      <c r="B127" s="39" t="s">
        <v>10</v>
      </c>
      <c r="C127" s="31"/>
      <c r="D127" s="217"/>
      <c r="E127" s="225"/>
      <c r="F127" s="217"/>
      <c r="G127" s="218"/>
      <c r="H127" s="148"/>
      <c r="I127" s="148"/>
      <c r="J127" s="226"/>
      <c r="K127" s="106"/>
      <c r="L127" s="220"/>
      <c r="M127" s="90"/>
      <c r="N127" s="91"/>
      <c r="O127" s="106"/>
      <c r="P127" s="260"/>
      <c r="Q127" s="211"/>
      <c r="R127" s="260"/>
      <c r="S127" s="206"/>
      <c r="T127" s="206"/>
      <c r="U127" s="207"/>
      <c r="V127" s="211"/>
      <c r="W127" s="77"/>
      <c r="Y127" s="7"/>
      <c r="Z127" s="9"/>
    </row>
    <row r="128" spans="1:26" ht="12" customHeight="1">
      <c r="A128" s="1"/>
      <c r="B128" s="40" t="s">
        <v>64</v>
      </c>
      <c r="C128" s="31" t="s">
        <v>65</v>
      </c>
      <c r="D128" s="214">
        <v>0.9</v>
      </c>
      <c r="E128" s="225">
        <f>E129*1000/(E9+1E-104)</f>
        <v>0</v>
      </c>
      <c r="F128" s="217">
        <v>0.8</v>
      </c>
      <c r="G128" s="218">
        <v>0.7</v>
      </c>
      <c r="H128" s="98">
        <f>I128</f>
        <v>0.7</v>
      </c>
      <c r="I128" s="98">
        <v>0.7</v>
      </c>
      <c r="J128" s="365">
        <f>H128</f>
        <v>0.7</v>
      </c>
      <c r="K128" s="90">
        <f>J128/(H128+1E-133)*100-100</f>
        <v>0</v>
      </c>
      <c r="L128" s="213"/>
      <c r="M128" s="90">
        <f>L128/(H128+1E-106)*100-100</f>
        <v>-100</v>
      </c>
      <c r="N128" s="91">
        <f>L128-J128</f>
        <v>-0.7</v>
      </c>
      <c r="O128" s="106"/>
      <c r="P128" s="260">
        <f>H128</f>
        <v>0.7</v>
      </c>
      <c r="Q128" s="211">
        <f>P128/(H128+1E-106)*100-100</f>
        <v>0</v>
      </c>
      <c r="R128" s="260">
        <f>P128</f>
        <v>0.7</v>
      </c>
      <c r="S128" s="212">
        <f t="shared" si="11"/>
        <v>0</v>
      </c>
      <c r="T128" s="212">
        <f>R128/(H128+1E-106)*100-100</f>
        <v>0</v>
      </c>
      <c r="U128" s="211">
        <f t="shared" si="10"/>
        <v>0</v>
      </c>
      <c r="V128" s="211"/>
      <c r="W128" s="77"/>
      <c r="Y128" s="7"/>
      <c r="Z128" s="9"/>
    </row>
    <row r="129" spans="1:23" ht="12" customHeight="1">
      <c r="A129" s="1"/>
      <c r="B129" s="40" t="s">
        <v>29</v>
      </c>
      <c r="C129" s="31" t="s">
        <v>43</v>
      </c>
      <c r="D129" s="217">
        <f>D128*D9/1000</f>
        <v>0</v>
      </c>
      <c r="E129" s="215"/>
      <c r="F129" s="214">
        <v>155.3</v>
      </c>
      <c r="G129" s="386">
        <v>11.4</v>
      </c>
      <c r="H129" s="105">
        <f>H128*H9/1000</f>
        <v>8.93</v>
      </c>
      <c r="I129" s="105">
        <v>11.4</v>
      </c>
      <c r="J129" s="107">
        <f>J128*J9/1000</f>
        <v>11.43</v>
      </c>
      <c r="K129" s="90">
        <f>J129/(H129+1E-133)*100-100</f>
        <v>28</v>
      </c>
      <c r="L129" s="220">
        <f>L128*L9/1000</f>
        <v>0</v>
      </c>
      <c r="M129" s="90">
        <f>L129/(H129+1E-106)*100-100</f>
        <v>-100</v>
      </c>
      <c r="N129" s="91">
        <f>L129-J129</f>
        <v>-11.43</v>
      </c>
      <c r="O129" s="106"/>
      <c r="P129" s="260">
        <f>H129</f>
        <v>8.93</v>
      </c>
      <c r="Q129" s="211">
        <f>P129/(H129+1E-106)*100-100</f>
        <v>0</v>
      </c>
      <c r="R129" s="260">
        <f>P129</f>
        <v>8.93</v>
      </c>
      <c r="S129" s="212">
        <f t="shared" si="11"/>
        <v>0</v>
      </c>
      <c r="T129" s="212">
        <f>R129/(H129+1E-106)*100-100</f>
        <v>0</v>
      </c>
      <c r="U129" s="211">
        <f t="shared" si="10"/>
        <v>-2.5</v>
      </c>
      <c r="V129" s="211"/>
      <c r="W129" s="77"/>
    </row>
    <row r="130" spans="1:23" s="250" customFormat="1" ht="12" customHeight="1">
      <c r="A130" s="51"/>
      <c r="B130" s="39" t="s">
        <v>34</v>
      </c>
      <c r="C130" s="52" t="s">
        <v>46</v>
      </c>
      <c r="D130" s="247"/>
      <c r="E130" s="203">
        <f>E151/(E129+1E-108)</f>
        <v>0</v>
      </c>
      <c r="F130" s="202">
        <v>15.1</v>
      </c>
      <c r="G130" s="227">
        <v>14.38</v>
      </c>
      <c r="H130" s="98">
        <f>I130</f>
        <v>14.38</v>
      </c>
      <c r="I130" s="98">
        <v>14.38</v>
      </c>
      <c r="J130" s="365">
        <f>R130</f>
        <v>16.09</v>
      </c>
      <c r="K130" s="88">
        <f>J130/(H130+1E-133)*100-100</f>
        <v>11.9</v>
      </c>
      <c r="L130" s="247"/>
      <c r="M130" s="88">
        <f>L130/(H130+1E-106)*100-100</f>
        <v>-100</v>
      </c>
      <c r="N130" s="89">
        <f>L130-J130</f>
        <v>-16.09</v>
      </c>
      <c r="O130" s="87"/>
      <c r="P130" s="229">
        <f>H130</f>
        <v>14.38</v>
      </c>
      <c r="Q130" s="207">
        <f>P130/(H130+1E-106)*100-100</f>
        <v>0</v>
      </c>
      <c r="R130" s="229">
        <f>H130*1.119</f>
        <v>16.09</v>
      </c>
      <c r="S130" s="206">
        <f t="shared" si="11"/>
        <v>11.9</v>
      </c>
      <c r="T130" s="206">
        <f>R130/(H130+1E-106)*100-100</f>
        <v>11.9</v>
      </c>
      <c r="U130" s="207">
        <f t="shared" si="10"/>
        <v>0</v>
      </c>
      <c r="V130" s="207"/>
      <c r="W130" s="238" t="s">
        <v>238</v>
      </c>
    </row>
    <row r="131" spans="1:23" ht="12" customHeight="1">
      <c r="A131" s="60"/>
      <c r="B131" s="59" t="s">
        <v>72</v>
      </c>
      <c r="C131" s="31"/>
      <c r="D131" s="217"/>
      <c r="E131" s="225"/>
      <c r="F131" s="217"/>
      <c r="G131" s="218"/>
      <c r="H131" s="105"/>
      <c r="I131" s="105"/>
      <c r="J131" s="226"/>
      <c r="K131" s="106"/>
      <c r="L131" s="220"/>
      <c r="M131" s="90"/>
      <c r="N131" s="91"/>
      <c r="O131" s="106"/>
      <c r="P131" s="260"/>
      <c r="Q131" s="211"/>
      <c r="R131" s="260"/>
      <c r="S131" s="206"/>
      <c r="T131" s="206"/>
      <c r="U131" s="207"/>
      <c r="V131" s="211"/>
      <c r="W131" s="161"/>
    </row>
    <row r="132" spans="1:23" ht="12" customHeight="1">
      <c r="A132" s="51">
        <v>10</v>
      </c>
      <c r="B132" s="39" t="s">
        <v>94</v>
      </c>
      <c r="C132" s="52" t="s">
        <v>8</v>
      </c>
      <c r="D132" s="204">
        <f>SUMIF(D133:D139,"&gt;0")</f>
        <v>0</v>
      </c>
      <c r="E132" s="248">
        <f>E133+E134+E135+E136+E137+E138+E139</f>
        <v>0</v>
      </c>
      <c r="F132" s="204">
        <v>90128</v>
      </c>
      <c r="G132" s="255">
        <v>7016.4</v>
      </c>
      <c r="H132" s="265">
        <f>H30*H29/1000</f>
        <v>5574.1</v>
      </c>
      <c r="I132" s="265">
        <v>7016.4</v>
      </c>
      <c r="J132" s="371">
        <f>J29*J30/1000</f>
        <v>8202.8</v>
      </c>
      <c r="K132" s="88">
        <f aca="true" t="shared" si="13" ref="K132:K176">J132/(H132+1E-133)*100-100</f>
        <v>47.2</v>
      </c>
      <c r="L132" s="204">
        <f>SUMIF(L133:L139,"&gt;0")</f>
        <v>0</v>
      </c>
      <c r="M132" s="88">
        <f aca="true" t="shared" si="14" ref="M132:M159">L132/(H132+1E-106)*100-100</f>
        <v>-100</v>
      </c>
      <c r="N132" s="89">
        <f>L132-J132</f>
        <v>-8202.8</v>
      </c>
      <c r="O132" s="87">
        <f>L132/($L$198+1E-103)*100</f>
        <v>0</v>
      </c>
      <c r="P132" s="265">
        <f>SUMIF(P133:P139,"&gt;0")</f>
        <v>6174.1</v>
      </c>
      <c r="Q132" s="207">
        <f aca="true" t="shared" si="15" ref="Q132:Q176">P132/(H132+1E-106)*100-100</f>
        <v>10.8</v>
      </c>
      <c r="R132" s="265">
        <f>SUMIF(R133:R139,"&gt;0")</f>
        <v>6410.2</v>
      </c>
      <c r="S132" s="206">
        <f t="shared" si="11"/>
        <v>3.8</v>
      </c>
      <c r="T132" s="206">
        <f aca="true" t="shared" si="16" ref="T132:T166">R132/(H132+1E-106)*100-100</f>
        <v>15</v>
      </c>
      <c r="U132" s="207">
        <f>R132-J132</f>
        <v>-1792.6</v>
      </c>
      <c r="V132" s="87">
        <f>R132/($R$198+1E-103)*100</f>
        <v>57.1</v>
      </c>
      <c r="W132" s="266"/>
    </row>
    <row r="133" spans="1:23" ht="12" customHeight="1" hidden="1">
      <c r="A133" s="1" t="s">
        <v>62</v>
      </c>
      <c r="B133" s="40" t="s">
        <v>96</v>
      </c>
      <c r="C133" s="31" t="s">
        <v>8</v>
      </c>
      <c r="D133" s="220">
        <f>D29*D30/1000</f>
        <v>0</v>
      </c>
      <c r="E133" s="252"/>
      <c r="F133" s="213">
        <v>80989.45</v>
      </c>
      <c r="G133" s="252"/>
      <c r="H133" s="105">
        <v>5970.98</v>
      </c>
      <c r="I133" s="105"/>
      <c r="J133" s="372">
        <f>J29*J30/1000</f>
        <v>8202.8</v>
      </c>
      <c r="K133" s="90">
        <f t="shared" si="13"/>
        <v>37.4</v>
      </c>
      <c r="L133" s="220">
        <f>L29*L30/1000</f>
        <v>0</v>
      </c>
      <c r="M133" s="90">
        <f t="shared" si="14"/>
        <v>-100</v>
      </c>
      <c r="N133" s="91">
        <f aca="true" t="shared" si="17" ref="N133:N182">L133-J133</f>
        <v>-8202.8</v>
      </c>
      <c r="O133" s="106"/>
      <c r="P133" s="235">
        <f>P29*P30/1000</f>
        <v>6174.1</v>
      </c>
      <c r="Q133" s="211">
        <f t="shared" si="15"/>
        <v>3.4</v>
      </c>
      <c r="R133" s="235">
        <f>R29*R30/1000</f>
        <v>6410.2</v>
      </c>
      <c r="S133" s="212">
        <f t="shared" si="11"/>
        <v>3.8</v>
      </c>
      <c r="T133" s="212">
        <f t="shared" si="16"/>
        <v>7.4</v>
      </c>
      <c r="U133" s="211">
        <f aca="true" t="shared" si="18" ref="U133:U187">R133-J133</f>
        <v>-1792.6</v>
      </c>
      <c r="V133" s="106">
        <f aca="true" t="shared" si="19" ref="V133:V187">R133/($R$198+1E-103)*100</f>
        <v>57.1</v>
      </c>
      <c r="W133" s="158"/>
    </row>
    <row r="134" spans="1:23" ht="12" customHeight="1" hidden="1">
      <c r="A134" s="1" t="s">
        <v>62</v>
      </c>
      <c r="B134" s="40" t="s">
        <v>95</v>
      </c>
      <c r="C134" s="31" t="s">
        <v>8</v>
      </c>
      <c r="D134" s="217">
        <f>D35*D36/1000</f>
        <v>0</v>
      </c>
      <c r="E134" s="252"/>
      <c r="F134" s="213">
        <v>8251.6</v>
      </c>
      <c r="G134" s="252"/>
      <c r="H134" s="94">
        <v>0</v>
      </c>
      <c r="I134" s="94"/>
      <c r="J134" s="372">
        <f>J35*J36/1000</f>
        <v>0</v>
      </c>
      <c r="K134" s="90">
        <f t="shared" si="13"/>
        <v>-100</v>
      </c>
      <c r="L134" s="220">
        <f>L35*L36/1000</f>
        <v>0</v>
      </c>
      <c r="M134" s="90">
        <f t="shared" si="14"/>
        <v>-100</v>
      </c>
      <c r="N134" s="91">
        <f t="shared" si="17"/>
        <v>0</v>
      </c>
      <c r="O134" s="106"/>
      <c r="P134" s="235">
        <f>P35*P36/1000</f>
        <v>0</v>
      </c>
      <c r="Q134" s="211">
        <f t="shared" si="15"/>
        <v>-100</v>
      </c>
      <c r="R134" s="235">
        <f>R35*R36/1000</f>
        <v>0</v>
      </c>
      <c r="S134" s="206">
        <f t="shared" si="11"/>
        <v>-100</v>
      </c>
      <c r="T134" s="206">
        <f t="shared" si="16"/>
        <v>-100</v>
      </c>
      <c r="U134" s="211">
        <f t="shared" si="18"/>
        <v>0</v>
      </c>
      <c r="V134" s="106">
        <f t="shared" si="19"/>
        <v>0</v>
      </c>
      <c r="W134" s="158"/>
    </row>
    <row r="135" spans="1:23" ht="12" customHeight="1" hidden="1">
      <c r="A135" s="1" t="s">
        <v>62</v>
      </c>
      <c r="B135" s="40" t="s">
        <v>97</v>
      </c>
      <c r="C135" s="31" t="s">
        <v>8</v>
      </c>
      <c r="D135" s="217">
        <f>D41*D42/1000</f>
        <v>0</v>
      </c>
      <c r="E135" s="252"/>
      <c r="F135" s="213">
        <v>0</v>
      </c>
      <c r="G135" s="252"/>
      <c r="H135" s="105">
        <v>0</v>
      </c>
      <c r="I135" s="105"/>
      <c r="J135" s="372">
        <f>J41*J42/1000</f>
        <v>0</v>
      </c>
      <c r="K135" s="90">
        <f t="shared" si="13"/>
        <v>-100</v>
      </c>
      <c r="L135" s="220">
        <f>L41*L42/1000</f>
        <v>0</v>
      </c>
      <c r="M135" s="90">
        <f t="shared" si="14"/>
        <v>-100</v>
      </c>
      <c r="N135" s="91">
        <f t="shared" si="17"/>
        <v>0</v>
      </c>
      <c r="O135" s="106"/>
      <c r="P135" s="235">
        <f>P41*P42/1000</f>
        <v>0</v>
      </c>
      <c r="Q135" s="211">
        <f t="shared" si="15"/>
        <v>-100</v>
      </c>
      <c r="R135" s="235">
        <f>R41*R42/1000</f>
        <v>0</v>
      </c>
      <c r="S135" s="206">
        <f t="shared" si="11"/>
        <v>-100</v>
      </c>
      <c r="T135" s="206">
        <f t="shared" si="16"/>
        <v>-100</v>
      </c>
      <c r="U135" s="211">
        <f t="shared" si="18"/>
        <v>0</v>
      </c>
      <c r="V135" s="106">
        <f t="shared" si="19"/>
        <v>0</v>
      </c>
      <c r="W135" s="158"/>
    </row>
    <row r="136" spans="1:23" ht="12" customHeight="1" hidden="1">
      <c r="A136" s="1" t="s">
        <v>62</v>
      </c>
      <c r="B136" s="40" t="s">
        <v>98</v>
      </c>
      <c r="C136" s="31" t="s">
        <v>8</v>
      </c>
      <c r="D136" s="217">
        <f>D47*D48/1000</f>
        <v>0</v>
      </c>
      <c r="E136" s="252"/>
      <c r="F136" s="213">
        <v>886.67</v>
      </c>
      <c r="G136" s="252"/>
      <c r="H136" s="105">
        <v>0</v>
      </c>
      <c r="I136" s="105"/>
      <c r="J136" s="372">
        <f>J47*J48/1000</f>
        <v>0</v>
      </c>
      <c r="K136" s="90">
        <f t="shared" si="13"/>
        <v>-100</v>
      </c>
      <c r="L136" s="220">
        <f>L47*L48/1000</f>
        <v>0</v>
      </c>
      <c r="M136" s="90">
        <f t="shared" si="14"/>
        <v>-100</v>
      </c>
      <c r="N136" s="91">
        <f t="shared" si="17"/>
        <v>0</v>
      </c>
      <c r="O136" s="106"/>
      <c r="P136" s="235">
        <f>P47*P48/1000</f>
        <v>0</v>
      </c>
      <c r="Q136" s="211">
        <f t="shared" si="15"/>
        <v>-100</v>
      </c>
      <c r="R136" s="235">
        <f>R47*R48/1000</f>
        <v>0</v>
      </c>
      <c r="S136" s="206">
        <f t="shared" si="11"/>
        <v>-100</v>
      </c>
      <c r="T136" s="206">
        <f t="shared" si="16"/>
        <v>-100</v>
      </c>
      <c r="U136" s="211">
        <f t="shared" si="18"/>
        <v>0</v>
      </c>
      <c r="V136" s="106">
        <f t="shared" si="19"/>
        <v>0</v>
      </c>
      <c r="W136" s="158"/>
    </row>
    <row r="137" spans="1:23" ht="12" customHeight="1" hidden="1">
      <c r="A137" s="1" t="s">
        <v>62</v>
      </c>
      <c r="B137" s="40" t="s">
        <v>99</v>
      </c>
      <c r="C137" s="31" t="s">
        <v>8</v>
      </c>
      <c r="D137" s="217">
        <f>D53*D54/1000</f>
        <v>0</v>
      </c>
      <c r="E137" s="252"/>
      <c r="F137" s="213">
        <v>0</v>
      </c>
      <c r="G137" s="252"/>
      <c r="H137" s="105">
        <v>0</v>
      </c>
      <c r="I137" s="105"/>
      <c r="J137" s="372">
        <f>J53*J54/1000</f>
        <v>0</v>
      </c>
      <c r="K137" s="90">
        <f t="shared" si="13"/>
        <v>-100</v>
      </c>
      <c r="L137" s="220">
        <f>L53*L54/1000</f>
        <v>0</v>
      </c>
      <c r="M137" s="90">
        <f t="shared" si="14"/>
        <v>-100</v>
      </c>
      <c r="N137" s="91">
        <f t="shared" si="17"/>
        <v>0</v>
      </c>
      <c r="O137" s="106"/>
      <c r="P137" s="235">
        <f>P53*P54/1000</f>
        <v>0</v>
      </c>
      <c r="Q137" s="211">
        <f t="shared" si="15"/>
        <v>-100</v>
      </c>
      <c r="R137" s="235">
        <f>R53*R54/1000</f>
        <v>0</v>
      </c>
      <c r="S137" s="206">
        <f t="shared" si="11"/>
        <v>-100</v>
      </c>
      <c r="T137" s="206">
        <f t="shared" si="16"/>
        <v>-100</v>
      </c>
      <c r="U137" s="211">
        <f t="shared" si="18"/>
        <v>0</v>
      </c>
      <c r="V137" s="106">
        <f t="shared" si="19"/>
        <v>0</v>
      </c>
      <c r="W137" s="158"/>
    </row>
    <row r="138" spans="1:23" ht="12" customHeight="1" hidden="1">
      <c r="A138" s="1" t="s">
        <v>62</v>
      </c>
      <c r="B138" s="40" t="s">
        <v>100</v>
      </c>
      <c r="C138" s="31" t="s">
        <v>8</v>
      </c>
      <c r="D138" s="217">
        <f>D59*D60/1000</f>
        <v>0</v>
      </c>
      <c r="E138" s="252"/>
      <c r="F138" s="213">
        <v>0</v>
      </c>
      <c r="G138" s="252"/>
      <c r="H138" s="105">
        <v>0</v>
      </c>
      <c r="I138" s="105"/>
      <c r="J138" s="372">
        <f>J59*J60/1000</f>
        <v>0</v>
      </c>
      <c r="K138" s="90">
        <f t="shared" si="13"/>
        <v>-100</v>
      </c>
      <c r="L138" s="220">
        <f>L59*L60/1000</f>
        <v>0</v>
      </c>
      <c r="M138" s="90">
        <f t="shared" si="14"/>
        <v>-100</v>
      </c>
      <c r="N138" s="91">
        <f t="shared" si="17"/>
        <v>0</v>
      </c>
      <c r="O138" s="106"/>
      <c r="P138" s="235">
        <f>P59*P60/1000</f>
        <v>0</v>
      </c>
      <c r="Q138" s="211">
        <f t="shared" si="15"/>
        <v>-100</v>
      </c>
      <c r="R138" s="235">
        <f>R59*R60/1000</f>
        <v>0</v>
      </c>
      <c r="S138" s="206">
        <f aca="true" t="shared" si="20" ref="S138:S199">R138/(P138+1E-106)*100-100</f>
        <v>-100</v>
      </c>
      <c r="T138" s="206">
        <f t="shared" si="16"/>
        <v>-100</v>
      </c>
      <c r="U138" s="211">
        <f t="shared" si="18"/>
        <v>0</v>
      </c>
      <c r="V138" s="106">
        <f t="shared" si="19"/>
        <v>0</v>
      </c>
      <c r="W138" s="158"/>
    </row>
    <row r="139" spans="1:23" ht="12" customHeight="1" hidden="1">
      <c r="A139" s="1" t="s">
        <v>62</v>
      </c>
      <c r="B139" s="40" t="s">
        <v>101</v>
      </c>
      <c r="C139" s="31" t="s">
        <v>8</v>
      </c>
      <c r="D139" s="217">
        <f>D65*D66/1000</f>
        <v>0</v>
      </c>
      <c r="E139" s="252"/>
      <c r="F139" s="213">
        <v>0</v>
      </c>
      <c r="G139" s="252"/>
      <c r="H139" s="105">
        <v>0</v>
      </c>
      <c r="I139" s="105"/>
      <c r="J139" s="372">
        <f>J65*J66/1000</f>
        <v>0</v>
      </c>
      <c r="K139" s="90">
        <f t="shared" si="13"/>
        <v>-100</v>
      </c>
      <c r="L139" s="220">
        <f>L65*L66/1000</f>
        <v>0</v>
      </c>
      <c r="M139" s="90">
        <f t="shared" si="14"/>
        <v>-100</v>
      </c>
      <c r="N139" s="91">
        <f t="shared" si="17"/>
        <v>0</v>
      </c>
      <c r="O139" s="106"/>
      <c r="P139" s="235">
        <f>P65*P66/1000</f>
        <v>0</v>
      </c>
      <c r="Q139" s="211">
        <f t="shared" si="15"/>
        <v>-100</v>
      </c>
      <c r="R139" s="235">
        <f>R65*R66/1000</f>
        <v>0</v>
      </c>
      <c r="S139" s="206">
        <f t="shared" si="20"/>
        <v>-100</v>
      </c>
      <c r="T139" s="206">
        <f t="shared" si="16"/>
        <v>-100</v>
      </c>
      <c r="U139" s="211">
        <f t="shared" si="18"/>
        <v>0</v>
      </c>
      <c r="V139" s="106">
        <f t="shared" si="19"/>
        <v>0</v>
      </c>
      <c r="W139" s="158"/>
    </row>
    <row r="140" spans="1:23" s="250" customFormat="1" ht="12" customHeight="1">
      <c r="A140" s="51">
        <v>11</v>
      </c>
      <c r="B140" s="39" t="s">
        <v>9</v>
      </c>
      <c r="C140" s="52" t="s">
        <v>8</v>
      </c>
      <c r="D140" s="204">
        <f>D141+D146</f>
        <v>0</v>
      </c>
      <c r="E140" s="255">
        <f>E141+E146</f>
        <v>0</v>
      </c>
      <c r="F140" s="204">
        <v>24420.19</v>
      </c>
      <c r="G140" s="255">
        <v>1332.1</v>
      </c>
      <c r="H140" s="113">
        <f>H80*H79</f>
        <v>836.01</v>
      </c>
      <c r="I140" s="113">
        <v>1332.1</v>
      </c>
      <c r="J140" s="371">
        <f>J79*J80</f>
        <v>1439.1</v>
      </c>
      <c r="K140" s="88">
        <f t="shared" si="13"/>
        <v>72.1</v>
      </c>
      <c r="L140" s="204">
        <f>L141+L146</f>
        <v>0</v>
      </c>
      <c r="M140" s="88">
        <f t="shared" si="14"/>
        <v>-100</v>
      </c>
      <c r="N140" s="89">
        <f t="shared" si="17"/>
        <v>-1439.1</v>
      </c>
      <c r="O140" s="87">
        <f>L140/($L$198+1E-103)*100</f>
        <v>0</v>
      </c>
      <c r="P140" s="113">
        <f>P80*P79</f>
        <v>836.07</v>
      </c>
      <c r="Q140" s="207">
        <f t="shared" si="15"/>
        <v>0</v>
      </c>
      <c r="R140" s="113">
        <f>R80*R79</f>
        <v>903.5</v>
      </c>
      <c r="S140" s="206">
        <f t="shared" si="20"/>
        <v>8.1</v>
      </c>
      <c r="T140" s="206">
        <f t="shared" si="16"/>
        <v>8.1</v>
      </c>
      <c r="U140" s="207">
        <f t="shared" si="18"/>
        <v>-535.6</v>
      </c>
      <c r="V140" s="87">
        <f t="shared" si="19"/>
        <v>8</v>
      </c>
      <c r="W140" s="267"/>
    </row>
    <row r="141" spans="1:25" ht="12" customHeight="1" hidden="1">
      <c r="A141" s="51"/>
      <c r="B141" s="155" t="s">
        <v>163</v>
      </c>
      <c r="C141" s="31" t="s">
        <v>8</v>
      </c>
      <c r="D141" s="220">
        <f>SUMIF(D142:D145,"&gt;0")</f>
        <v>0</v>
      </c>
      <c r="E141" s="237">
        <f>E142+E143+E144+E145</f>
        <v>0</v>
      </c>
      <c r="F141" s="220">
        <v>24420.19</v>
      </c>
      <c r="G141" s="219"/>
      <c r="H141" s="151">
        <v>1784.03</v>
      </c>
      <c r="I141" s="151"/>
      <c r="J141" s="372"/>
      <c r="K141" s="90">
        <f t="shared" si="13"/>
        <v>-100</v>
      </c>
      <c r="L141" s="268"/>
      <c r="M141" s="90">
        <f t="shared" si="14"/>
        <v>-100</v>
      </c>
      <c r="N141" s="91">
        <f t="shared" si="17"/>
        <v>0</v>
      </c>
      <c r="O141" s="106"/>
      <c r="P141" s="235"/>
      <c r="Q141" s="211">
        <f t="shared" si="15"/>
        <v>-100</v>
      </c>
      <c r="R141" s="235"/>
      <c r="S141" s="212">
        <f t="shared" si="20"/>
        <v>-100</v>
      </c>
      <c r="T141" s="212">
        <f t="shared" si="16"/>
        <v>-100</v>
      </c>
      <c r="U141" s="211">
        <f t="shared" si="18"/>
        <v>0</v>
      </c>
      <c r="V141" s="106">
        <f t="shared" si="19"/>
        <v>0</v>
      </c>
      <c r="W141" s="162"/>
      <c r="Y141" s="7"/>
    </row>
    <row r="142" spans="1:25" ht="12" customHeight="1" hidden="1">
      <c r="A142" s="1" t="s">
        <v>62</v>
      </c>
      <c r="B142" s="40" t="s">
        <v>124</v>
      </c>
      <c r="C142" s="31" t="s">
        <v>8</v>
      </c>
      <c r="D142" s="220">
        <f>D79*D80</f>
        <v>0</v>
      </c>
      <c r="E142" s="252"/>
      <c r="F142" s="213">
        <v>24420.19</v>
      </c>
      <c r="G142" s="252"/>
      <c r="H142" s="105">
        <v>1784.03</v>
      </c>
      <c r="I142" s="105"/>
      <c r="J142" s="372"/>
      <c r="K142" s="90">
        <f t="shared" si="13"/>
        <v>-100</v>
      </c>
      <c r="L142" s="220"/>
      <c r="M142" s="90">
        <f t="shared" si="14"/>
        <v>-100</v>
      </c>
      <c r="N142" s="91">
        <f t="shared" si="17"/>
        <v>0</v>
      </c>
      <c r="O142" s="106"/>
      <c r="P142" s="235"/>
      <c r="Q142" s="211">
        <f t="shared" si="15"/>
        <v>-100</v>
      </c>
      <c r="R142" s="235"/>
      <c r="S142" s="212">
        <f t="shared" si="20"/>
        <v>-100</v>
      </c>
      <c r="T142" s="212">
        <f t="shared" si="16"/>
        <v>-100</v>
      </c>
      <c r="U142" s="211">
        <f t="shared" si="18"/>
        <v>0</v>
      </c>
      <c r="V142" s="106">
        <f t="shared" si="19"/>
        <v>0</v>
      </c>
      <c r="W142" s="162"/>
      <c r="Y142" s="7"/>
    </row>
    <row r="143" spans="1:25" ht="12" customHeight="1" hidden="1">
      <c r="A143" s="1" t="s">
        <v>62</v>
      </c>
      <c r="B143" s="40" t="s">
        <v>125</v>
      </c>
      <c r="C143" s="31" t="s">
        <v>8</v>
      </c>
      <c r="D143" s="217">
        <f>D85*D86</f>
        <v>0</v>
      </c>
      <c r="E143" s="252"/>
      <c r="F143" s="213">
        <v>0</v>
      </c>
      <c r="G143" s="252"/>
      <c r="H143" s="105">
        <v>0</v>
      </c>
      <c r="I143" s="105"/>
      <c r="J143" s="372"/>
      <c r="K143" s="90">
        <f t="shared" si="13"/>
        <v>-100</v>
      </c>
      <c r="L143" s="220"/>
      <c r="M143" s="90">
        <f t="shared" si="14"/>
        <v>-100</v>
      </c>
      <c r="N143" s="91">
        <f t="shared" si="17"/>
        <v>0</v>
      </c>
      <c r="O143" s="106"/>
      <c r="P143" s="235"/>
      <c r="Q143" s="211">
        <f t="shared" si="15"/>
        <v>-100</v>
      </c>
      <c r="R143" s="235"/>
      <c r="S143" s="206">
        <f t="shared" si="20"/>
        <v>-100</v>
      </c>
      <c r="T143" s="206">
        <f t="shared" si="16"/>
        <v>-100</v>
      </c>
      <c r="U143" s="211">
        <f t="shared" si="18"/>
        <v>0</v>
      </c>
      <c r="V143" s="106">
        <f t="shared" si="19"/>
        <v>0</v>
      </c>
      <c r="W143" s="162"/>
      <c r="Y143" s="7"/>
    </row>
    <row r="144" spans="1:25" ht="12" customHeight="1" hidden="1">
      <c r="A144" s="1" t="s">
        <v>62</v>
      </c>
      <c r="B144" s="40" t="s">
        <v>126</v>
      </c>
      <c r="C144" s="31" t="s">
        <v>8</v>
      </c>
      <c r="D144" s="217">
        <f>D91*D92</f>
        <v>0</v>
      </c>
      <c r="E144" s="252"/>
      <c r="F144" s="213">
        <v>0</v>
      </c>
      <c r="G144" s="252"/>
      <c r="H144" s="105">
        <v>0</v>
      </c>
      <c r="I144" s="105"/>
      <c r="J144" s="372"/>
      <c r="K144" s="90">
        <f t="shared" si="13"/>
        <v>-100</v>
      </c>
      <c r="L144" s="220"/>
      <c r="M144" s="90">
        <f t="shared" si="14"/>
        <v>-100</v>
      </c>
      <c r="N144" s="91">
        <f t="shared" si="17"/>
        <v>0</v>
      </c>
      <c r="O144" s="106"/>
      <c r="P144" s="235"/>
      <c r="Q144" s="211">
        <f t="shared" si="15"/>
        <v>-100</v>
      </c>
      <c r="R144" s="235"/>
      <c r="S144" s="206">
        <f t="shared" si="20"/>
        <v>-100</v>
      </c>
      <c r="T144" s="206">
        <f t="shared" si="16"/>
        <v>-100</v>
      </c>
      <c r="U144" s="211">
        <f t="shared" si="18"/>
        <v>0</v>
      </c>
      <c r="V144" s="106">
        <f t="shared" si="19"/>
        <v>0</v>
      </c>
      <c r="W144" s="162"/>
      <c r="Y144" s="7"/>
    </row>
    <row r="145" spans="1:25" ht="12" customHeight="1" hidden="1">
      <c r="A145" s="1" t="s">
        <v>62</v>
      </c>
      <c r="B145" s="40" t="s">
        <v>127</v>
      </c>
      <c r="C145" s="31" t="s">
        <v>8</v>
      </c>
      <c r="D145" s="217">
        <f>D97*D98</f>
        <v>0</v>
      </c>
      <c r="E145" s="252"/>
      <c r="F145" s="213">
        <v>0</v>
      </c>
      <c r="G145" s="252"/>
      <c r="H145" s="105">
        <v>0</v>
      </c>
      <c r="I145" s="105"/>
      <c r="J145" s="372"/>
      <c r="K145" s="90">
        <f t="shared" si="13"/>
        <v>-100</v>
      </c>
      <c r="L145" s="220"/>
      <c r="M145" s="90">
        <f t="shared" si="14"/>
        <v>-100</v>
      </c>
      <c r="N145" s="91">
        <f t="shared" si="17"/>
        <v>0</v>
      </c>
      <c r="O145" s="106"/>
      <c r="P145" s="235"/>
      <c r="Q145" s="211">
        <f t="shared" si="15"/>
        <v>-100</v>
      </c>
      <c r="R145" s="235"/>
      <c r="S145" s="206">
        <f t="shared" si="20"/>
        <v>-100</v>
      </c>
      <c r="T145" s="206">
        <f t="shared" si="16"/>
        <v>-100</v>
      </c>
      <c r="U145" s="211">
        <f t="shared" si="18"/>
        <v>0</v>
      </c>
      <c r="V145" s="106">
        <f t="shared" si="19"/>
        <v>0</v>
      </c>
      <c r="W145" s="162"/>
      <c r="Y145" s="7"/>
    </row>
    <row r="146" spans="1:25" ht="12" customHeight="1" hidden="1">
      <c r="A146" s="1"/>
      <c r="B146" s="155" t="s">
        <v>164</v>
      </c>
      <c r="C146" s="31" t="s">
        <v>8</v>
      </c>
      <c r="D146" s="202">
        <f>SUMIF(D147:D150,"&gt;0")</f>
        <v>0</v>
      </c>
      <c r="E146" s="219">
        <f>E147+E148+E149+E150</f>
        <v>0</v>
      </c>
      <c r="F146" s="220">
        <v>0</v>
      </c>
      <c r="G146" s="219"/>
      <c r="H146" s="151">
        <v>0</v>
      </c>
      <c r="I146" s="151"/>
      <c r="J146" s="372">
        <f>SUMIF(J147:J150,"&gt;0")</f>
        <v>0</v>
      </c>
      <c r="K146" s="90">
        <f t="shared" si="13"/>
        <v>-100</v>
      </c>
      <c r="L146" s="204">
        <f>SUMIF(L147:L150,"&gt;0")</f>
        <v>0</v>
      </c>
      <c r="M146" s="90">
        <f t="shared" si="14"/>
        <v>-100</v>
      </c>
      <c r="N146" s="91">
        <f t="shared" si="17"/>
        <v>0</v>
      </c>
      <c r="O146" s="106"/>
      <c r="P146" s="235">
        <f>SUMIF(P147:P150,"&gt;0")</f>
        <v>0</v>
      </c>
      <c r="Q146" s="211">
        <f t="shared" si="15"/>
        <v>-100</v>
      </c>
      <c r="R146" s="235">
        <f>SUMIF(R147:R150,"&gt;0")</f>
        <v>0</v>
      </c>
      <c r="S146" s="206">
        <f t="shared" si="20"/>
        <v>-100</v>
      </c>
      <c r="T146" s="206">
        <f t="shared" si="16"/>
        <v>-100</v>
      </c>
      <c r="U146" s="211">
        <f t="shared" si="18"/>
        <v>0</v>
      </c>
      <c r="V146" s="106">
        <f t="shared" si="19"/>
        <v>0</v>
      </c>
      <c r="W146" s="162"/>
      <c r="Y146" s="7"/>
    </row>
    <row r="147" spans="1:25" ht="12" customHeight="1" hidden="1">
      <c r="A147" s="1" t="s">
        <v>62</v>
      </c>
      <c r="B147" s="40" t="s">
        <v>124</v>
      </c>
      <c r="C147" s="31" t="s">
        <v>8</v>
      </c>
      <c r="D147" s="217">
        <f>D104*D105</f>
        <v>0</v>
      </c>
      <c r="E147" s="252"/>
      <c r="F147" s="213">
        <v>0</v>
      </c>
      <c r="G147" s="252"/>
      <c r="H147" s="105">
        <v>0</v>
      </c>
      <c r="I147" s="105"/>
      <c r="J147" s="372">
        <f>J104*J105+J107*12*J108</f>
        <v>0</v>
      </c>
      <c r="K147" s="90">
        <f t="shared" si="13"/>
        <v>-100</v>
      </c>
      <c r="L147" s="220">
        <f>L104*L105+L107*12*L108</f>
        <v>0</v>
      </c>
      <c r="M147" s="90">
        <f t="shared" si="14"/>
        <v>-100</v>
      </c>
      <c r="N147" s="91">
        <f t="shared" si="17"/>
        <v>0</v>
      </c>
      <c r="O147" s="106"/>
      <c r="P147" s="235">
        <f>P104*P105+P107*12*P108</f>
        <v>0</v>
      </c>
      <c r="Q147" s="211">
        <f t="shared" si="15"/>
        <v>-100</v>
      </c>
      <c r="R147" s="235">
        <f>R104*R105+R107*12*R108</f>
        <v>0</v>
      </c>
      <c r="S147" s="206">
        <f t="shared" si="20"/>
        <v>-100</v>
      </c>
      <c r="T147" s="206">
        <f t="shared" si="16"/>
        <v>-100</v>
      </c>
      <c r="U147" s="211">
        <f t="shared" si="18"/>
        <v>0</v>
      </c>
      <c r="V147" s="106">
        <f t="shared" si="19"/>
        <v>0</v>
      </c>
      <c r="W147" s="162"/>
      <c r="Y147" s="7"/>
    </row>
    <row r="148" spans="1:25" ht="12" customHeight="1" hidden="1">
      <c r="A148" s="1" t="s">
        <v>62</v>
      </c>
      <c r="B148" s="40" t="s">
        <v>125</v>
      </c>
      <c r="C148" s="31" t="s">
        <v>8</v>
      </c>
      <c r="D148" s="217">
        <f>D110*D111</f>
        <v>0</v>
      </c>
      <c r="E148" s="252"/>
      <c r="F148" s="213">
        <v>0</v>
      </c>
      <c r="G148" s="252"/>
      <c r="H148" s="105">
        <v>0</v>
      </c>
      <c r="I148" s="105"/>
      <c r="J148" s="372">
        <f>J110*J111+J113*12*J114</f>
        <v>0</v>
      </c>
      <c r="K148" s="90">
        <f t="shared" si="13"/>
        <v>-100</v>
      </c>
      <c r="L148" s="220">
        <f>L110*L111+L113*12*L114</f>
        <v>0</v>
      </c>
      <c r="M148" s="90">
        <f t="shared" si="14"/>
        <v>-100</v>
      </c>
      <c r="N148" s="91">
        <f t="shared" si="17"/>
        <v>0</v>
      </c>
      <c r="O148" s="106"/>
      <c r="P148" s="235">
        <f>P110*P111+P113*12*P114</f>
        <v>0</v>
      </c>
      <c r="Q148" s="211">
        <f t="shared" si="15"/>
        <v>-100</v>
      </c>
      <c r="R148" s="235">
        <f>R110*R111+R113*12*R114</f>
        <v>0</v>
      </c>
      <c r="S148" s="206">
        <f t="shared" si="20"/>
        <v>-100</v>
      </c>
      <c r="T148" s="206">
        <f t="shared" si="16"/>
        <v>-100</v>
      </c>
      <c r="U148" s="211">
        <f t="shared" si="18"/>
        <v>0</v>
      </c>
      <c r="V148" s="106">
        <f t="shared" si="19"/>
        <v>0</v>
      </c>
      <c r="W148" s="162"/>
      <c r="Y148" s="7"/>
    </row>
    <row r="149" spans="1:25" ht="12" customHeight="1" hidden="1">
      <c r="A149" s="1" t="s">
        <v>62</v>
      </c>
      <c r="B149" s="40" t="s">
        <v>126</v>
      </c>
      <c r="C149" s="31" t="s">
        <v>8</v>
      </c>
      <c r="D149" s="217">
        <f>D116*D117</f>
        <v>0</v>
      </c>
      <c r="E149" s="252"/>
      <c r="F149" s="213">
        <v>0</v>
      </c>
      <c r="G149" s="252"/>
      <c r="H149" s="105">
        <v>0</v>
      </c>
      <c r="I149" s="105"/>
      <c r="J149" s="372">
        <f>J116*J117+J119*12*J120</f>
        <v>0</v>
      </c>
      <c r="K149" s="90">
        <f t="shared" si="13"/>
        <v>-100</v>
      </c>
      <c r="L149" s="220">
        <f>L116*L117+L119*12*L120</f>
        <v>0</v>
      </c>
      <c r="M149" s="90">
        <f t="shared" si="14"/>
        <v>-100</v>
      </c>
      <c r="N149" s="91">
        <f t="shared" si="17"/>
        <v>0</v>
      </c>
      <c r="O149" s="106"/>
      <c r="P149" s="235">
        <f>P116*P117+P119*12*P120</f>
        <v>0</v>
      </c>
      <c r="Q149" s="211">
        <f t="shared" si="15"/>
        <v>-100</v>
      </c>
      <c r="R149" s="235">
        <f>R116*R117+R119*12*R120</f>
        <v>0</v>
      </c>
      <c r="S149" s="206">
        <f t="shared" si="20"/>
        <v>-100</v>
      </c>
      <c r="T149" s="206">
        <f t="shared" si="16"/>
        <v>-100</v>
      </c>
      <c r="U149" s="211">
        <f t="shared" si="18"/>
        <v>0</v>
      </c>
      <c r="V149" s="106">
        <f t="shared" si="19"/>
        <v>0</v>
      </c>
      <c r="W149" s="162"/>
      <c r="Y149" s="7"/>
    </row>
    <row r="150" spans="1:25" ht="12" customHeight="1" hidden="1">
      <c r="A150" s="1" t="s">
        <v>62</v>
      </c>
      <c r="B150" s="40" t="s">
        <v>127</v>
      </c>
      <c r="C150" s="31" t="s">
        <v>8</v>
      </c>
      <c r="D150" s="217">
        <f>D122*D123</f>
        <v>0</v>
      </c>
      <c r="E150" s="252"/>
      <c r="F150" s="213">
        <v>0</v>
      </c>
      <c r="G150" s="252"/>
      <c r="H150" s="105">
        <v>0</v>
      </c>
      <c r="I150" s="105"/>
      <c r="J150" s="372">
        <f>J122*J123+J125*12*J126</f>
        <v>0</v>
      </c>
      <c r="K150" s="90">
        <f t="shared" si="13"/>
        <v>-100</v>
      </c>
      <c r="L150" s="220">
        <f>L122*L123+L125*12*L126</f>
        <v>0</v>
      </c>
      <c r="M150" s="90">
        <f t="shared" si="14"/>
        <v>-100</v>
      </c>
      <c r="N150" s="91">
        <f t="shared" si="17"/>
        <v>0</v>
      </c>
      <c r="O150" s="106"/>
      <c r="P150" s="235">
        <f>P122*P123+P125*12*P126</f>
        <v>0</v>
      </c>
      <c r="Q150" s="211">
        <f t="shared" si="15"/>
        <v>-100</v>
      </c>
      <c r="R150" s="235">
        <f>R122*R123+R125*12*R126</f>
        <v>0</v>
      </c>
      <c r="S150" s="206">
        <f t="shared" si="20"/>
        <v>-100</v>
      </c>
      <c r="T150" s="206">
        <f t="shared" si="16"/>
        <v>-100</v>
      </c>
      <c r="U150" s="211">
        <f t="shared" si="18"/>
        <v>0</v>
      </c>
      <c r="V150" s="106">
        <f t="shared" si="19"/>
        <v>0</v>
      </c>
      <c r="W150" s="162"/>
      <c r="Y150" s="7"/>
    </row>
    <row r="151" spans="1:23" s="250" customFormat="1" ht="12" customHeight="1">
      <c r="A151" s="51">
        <v>12</v>
      </c>
      <c r="B151" s="39" t="s">
        <v>10</v>
      </c>
      <c r="C151" s="52" t="s">
        <v>8</v>
      </c>
      <c r="D151" s="204">
        <f>D130*D129</f>
        <v>0</v>
      </c>
      <c r="E151" s="249"/>
      <c r="F151" s="247">
        <v>2345.59</v>
      </c>
      <c r="G151" s="374">
        <v>163.93</v>
      </c>
      <c r="H151" s="113">
        <f>H130*H129</f>
        <v>128.41</v>
      </c>
      <c r="I151" s="113">
        <v>163.93</v>
      </c>
      <c r="J151" s="371">
        <f>J130*J129</f>
        <v>183.9</v>
      </c>
      <c r="K151" s="88">
        <f t="shared" si="13"/>
        <v>43.2</v>
      </c>
      <c r="L151" s="204">
        <f>L130*L129</f>
        <v>0</v>
      </c>
      <c r="M151" s="88">
        <f t="shared" si="14"/>
        <v>-100</v>
      </c>
      <c r="N151" s="89">
        <f t="shared" si="17"/>
        <v>-183.9</v>
      </c>
      <c r="O151" s="87">
        <f>L151/($L$198+1E-103)*100</f>
        <v>0</v>
      </c>
      <c r="P151" s="265">
        <f>P130*P129</f>
        <v>128.4</v>
      </c>
      <c r="Q151" s="207">
        <f t="shared" si="15"/>
        <v>0</v>
      </c>
      <c r="R151" s="265">
        <f>R130*R129</f>
        <v>143.7</v>
      </c>
      <c r="S151" s="206">
        <f t="shared" si="20"/>
        <v>11.9</v>
      </c>
      <c r="T151" s="206">
        <f t="shared" si="16"/>
        <v>11.9</v>
      </c>
      <c r="U151" s="207">
        <f t="shared" si="18"/>
        <v>-40.2</v>
      </c>
      <c r="V151" s="87">
        <f t="shared" si="19"/>
        <v>1.3</v>
      </c>
      <c r="W151" s="269"/>
    </row>
    <row r="152" spans="1:23" s="250" customFormat="1" ht="12" customHeight="1">
      <c r="A152" s="51">
        <v>13</v>
      </c>
      <c r="B152" s="39" t="s">
        <v>11</v>
      </c>
      <c r="C152" s="52" t="s">
        <v>8</v>
      </c>
      <c r="D152" s="247"/>
      <c r="E152" s="249"/>
      <c r="F152" s="247">
        <v>678.71</v>
      </c>
      <c r="G152" s="374">
        <v>164.36</v>
      </c>
      <c r="H152" s="98">
        <f>I152</f>
        <v>164.36</v>
      </c>
      <c r="I152" s="98">
        <v>164.36</v>
      </c>
      <c r="J152" s="365">
        <f>R152</f>
        <v>169.3</v>
      </c>
      <c r="K152" s="88">
        <f t="shared" si="13"/>
        <v>3</v>
      </c>
      <c r="L152" s="247"/>
      <c r="M152" s="88"/>
      <c r="N152" s="89"/>
      <c r="O152" s="87"/>
      <c r="P152" s="229">
        <f>H152</f>
        <v>164.36</v>
      </c>
      <c r="Q152" s="207">
        <f t="shared" si="15"/>
        <v>0</v>
      </c>
      <c r="R152" s="265">
        <f>P152*1.03</f>
        <v>169.3</v>
      </c>
      <c r="S152" s="206">
        <f>R152/(P152+1E-106)*100-100</f>
        <v>3</v>
      </c>
      <c r="T152" s="206">
        <f>R152/(H152+1E-106)*100-100</f>
        <v>3</v>
      </c>
      <c r="U152" s="207">
        <f>R152-J152</f>
        <v>0</v>
      </c>
      <c r="V152" s="87">
        <f>R152/($R$198+1E-103)*100</f>
        <v>1.5</v>
      </c>
      <c r="W152" s="270"/>
    </row>
    <row r="153" spans="1:23" s="250" customFormat="1" ht="12" customHeight="1">
      <c r="A153" s="51">
        <v>14</v>
      </c>
      <c r="B153" s="39" t="s">
        <v>12</v>
      </c>
      <c r="C153" s="52" t="s">
        <v>8</v>
      </c>
      <c r="D153" s="247"/>
      <c r="E153" s="249"/>
      <c r="F153" s="247">
        <v>11596.47</v>
      </c>
      <c r="G153" s="374">
        <v>1242.38</v>
      </c>
      <c r="H153" s="98">
        <v>1053.98</v>
      </c>
      <c r="I153" s="98">
        <v>1242.38</v>
      </c>
      <c r="J153" s="369">
        <f>G153*1.051</f>
        <v>1305.74</v>
      </c>
      <c r="K153" s="88">
        <f t="shared" si="13"/>
        <v>23.9</v>
      </c>
      <c r="L153" s="247"/>
      <c r="M153" s="88">
        <f t="shared" si="14"/>
        <v>-100</v>
      </c>
      <c r="N153" s="89">
        <f t="shared" si="17"/>
        <v>-1305.74</v>
      </c>
      <c r="O153" s="87">
        <f>L153/($L$198+1E-103)*100</f>
        <v>0</v>
      </c>
      <c r="P153" s="229">
        <f>H153</f>
        <v>1053.98</v>
      </c>
      <c r="Q153" s="207">
        <f t="shared" si="15"/>
        <v>0</v>
      </c>
      <c r="R153" s="265">
        <v>1219.1</v>
      </c>
      <c r="S153" s="206">
        <f t="shared" si="20"/>
        <v>15.7</v>
      </c>
      <c r="T153" s="206">
        <f t="shared" si="16"/>
        <v>15.7</v>
      </c>
      <c r="U153" s="207">
        <f t="shared" si="18"/>
        <v>-86.6</v>
      </c>
      <c r="V153" s="87">
        <f t="shared" si="19"/>
        <v>10.9</v>
      </c>
      <c r="W153" s="270"/>
    </row>
    <row r="154" spans="1:23" ht="12" customHeight="1">
      <c r="A154" s="1"/>
      <c r="B154" s="40" t="s">
        <v>13</v>
      </c>
      <c r="C154" s="44" t="s">
        <v>14</v>
      </c>
      <c r="D154" s="214">
        <f>D153/12/(D155+1E-100)*1000</f>
        <v>0</v>
      </c>
      <c r="E154" s="252">
        <f>E153/12/(E155+1E-100)*1000</f>
        <v>0</v>
      </c>
      <c r="F154" s="213">
        <v>7211.73</v>
      </c>
      <c r="G154" s="252">
        <v>9412</v>
      </c>
      <c r="H154" s="235">
        <f>H153/12/(H155+1E-100)*1000</f>
        <v>8783.2</v>
      </c>
      <c r="I154" s="213">
        <v>9412</v>
      </c>
      <c r="J154" s="373">
        <f>J153/J155/12*1000</f>
        <v>10881.2</v>
      </c>
      <c r="K154" s="90">
        <f t="shared" si="13"/>
        <v>23.9</v>
      </c>
      <c r="L154" s="213">
        <f>L153/12/(L155+1E-100)*1000</f>
        <v>0</v>
      </c>
      <c r="M154" s="90">
        <f t="shared" si="14"/>
        <v>-100</v>
      </c>
      <c r="N154" s="91">
        <f t="shared" si="17"/>
        <v>-10881.2</v>
      </c>
      <c r="O154" s="106"/>
      <c r="P154" s="235">
        <f>P153/12/(P155+1E-100)*1000</f>
        <v>8783.2</v>
      </c>
      <c r="Q154" s="211">
        <f t="shared" si="15"/>
        <v>0</v>
      </c>
      <c r="R154" s="235">
        <f>R153/12/(R155+1E-100)*1000</f>
        <v>10159.2</v>
      </c>
      <c r="S154" s="212">
        <f t="shared" si="20"/>
        <v>15.7</v>
      </c>
      <c r="T154" s="212">
        <f t="shared" si="16"/>
        <v>15.7</v>
      </c>
      <c r="U154" s="211">
        <f t="shared" si="18"/>
        <v>-722</v>
      </c>
      <c r="V154" s="106"/>
      <c r="W154" s="163"/>
    </row>
    <row r="155" spans="1:23" ht="12" customHeight="1">
      <c r="A155" s="1"/>
      <c r="B155" s="40" t="s">
        <v>35</v>
      </c>
      <c r="C155" s="44" t="s">
        <v>42</v>
      </c>
      <c r="D155" s="271"/>
      <c r="E155" s="272"/>
      <c r="F155" s="295">
        <v>134</v>
      </c>
      <c r="G155" s="389">
        <v>10</v>
      </c>
      <c r="H155" s="98">
        <v>10</v>
      </c>
      <c r="I155" s="98">
        <v>10</v>
      </c>
      <c r="J155" s="365">
        <v>10</v>
      </c>
      <c r="K155" s="90">
        <f t="shared" si="13"/>
        <v>0</v>
      </c>
      <c r="L155" s="213"/>
      <c r="M155" s="90">
        <f t="shared" si="14"/>
        <v>-100</v>
      </c>
      <c r="N155" s="91">
        <f t="shared" si="17"/>
        <v>-10</v>
      </c>
      <c r="O155" s="106"/>
      <c r="P155" s="235">
        <f>H155</f>
        <v>10</v>
      </c>
      <c r="Q155" s="211">
        <f t="shared" si="15"/>
        <v>0</v>
      </c>
      <c r="R155" s="235">
        <f>H155</f>
        <v>10</v>
      </c>
      <c r="S155" s="212">
        <f t="shared" si="20"/>
        <v>0</v>
      </c>
      <c r="T155" s="212">
        <f t="shared" si="16"/>
        <v>0</v>
      </c>
      <c r="U155" s="211">
        <f t="shared" si="18"/>
        <v>0</v>
      </c>
      <c r="V155" s="106">
        <f t="shared" si="19"/>
        <v>0.1</v>
      </c>
      <c r="W155" s="163"/>
    </row>
    <row r="156" spans="1:23" s="250" customFormat="1" ht="12" customHeight="1">
      <c r="A156" s="51">
        <v>15</v>
      </c>
      <c r="B156" s="39" t="s">
        <v>194</v>
      </c>
      <c r="C156" s="52" t="s">
        <v>8</v>
      </c>
      <c r="D156" s="247"/>
      <c r="E156" s="249"/>
      <c r="F156" s="247">
        <v>3942.8</v>
      </c>
      <c r="G156" s="374">
        <v>424.89</v>
      </c>
      <c r="H156" s="247">
        <f>H153*0.342</f>
        <v>360.46</v>
      </c>
      <c r="I156" s="247">
        <f>I153*0.342</f>
        <v>424.89</v>
      </c>
      <c r="J156" s="374">
        <f>J153*0.342</f>
        <v>446.56</v>
      </c>
      <c r="K156" s="88">
        <f t="shared" si="13"/>
        <v>23.9</v>
      </c>
      <c r="L156" s="247"/>
      <c r="M156" s="88">
        <f t="shared" si="14"/>
        <v>-100</v>
      </c>
      <c r="N156" s="89">
        <f t="shared" si="17"/>
        <v>-446.56</v>
      </c>
      <c r="O156" s="87">
        <f>L156/($L$198+1E-103)*100</f>
        <v>0</v>
      </c>
      <c r="P156" s="247">
        <f>P153*0.342</f>
        <v>360.46</v>
      </c>
      <c r="Q156" s="207">
        <f t="shared" si="15"/>
        <v>0</v>
      </c>
      <c r="R156" s="247">
        <f>R153*0.342</f>
        <v>416.93</v>
      </c>
      <c r="S156" s="206">
        <f t="shared" si="20"/>
        <v>15.7</v>
      </c>
      <c r="T156" s="206">
        <f t="shared" si="16"/>
        <v>15.7</v>
      </c>
      <c r="U156" s="207">
        <f t="shared" si="18"/>
        <v>-29.6</v>
      </c>
      <c r="V156" s="87">
        <f t="shared" si="19"/>
        <v>3.7</v>
      </c>
      <c r="W156" s="270"/>
    </row>
    <row r="157" spans="1:23" s="250" customFormat="1" ht="12" customHeight="1">
      <c r="A157" s="51">
        <v>16</v>
      </c>
      <c r="B157" s="39" t="s">
        <v>15</v>
      </c>
      <c r="C157" s="52" t="s">
        <v>8</v>
      </c>
      <c r="D157" s="247"/>
      <c r="E157" s="249"/>
      <c r="F157" s="247">
        <v>3086.5</v>
      </c>
      <c r="G157" s="374">
        <v>302</v>
      </c>
      <c r="H157" s="98">
        <f>I157</f>
        <v>302</v>
      </c>
      <c r="I157" s="98">
        <v>302</v>
      </c>
      <c r="J157" s="375">
        <f>G157</f>
        <v>302</v>
      </c>
      <c r="K157" s="88">
        <f t="shared" si="13"/>
        <v>0</v>
      </c>
      <c r="L157" s="247"/>
      <c r="M157" s="88">
        <f t="shared" si="14"/>
        <v>-100</v>
      </c>
      <c r="N157" s="89">
        <f t="shared" si="17"/>
        <v>-302</v>
      </c>
      <c r="O157" s="87">
        <f>L157/($L$198+1E-103)*100</f>
        <v>0</v>
      </c>
      <c r="P157" s="265">
        <f>H157</f>
        <v>302</v>
      </c>
      <c r="Q157" s="207">
        <f t="shared" si="15"/>
        <v>0</v>
      </c>
      <c r="R157" s="265">
        <f>H157</f>
        <v>302</v>
      </c>
      <c r="S157" s="206">
        <f t="shared" si="20"/>
        <v>0</v>
      </c>
      <c r="T157" s="206">
        <f t="shared" si="16"/>
        <v>0</v>
      </c>
      <c r="U157" s="207">
        <f t="shared" si="18"/>
        <v>0</v>
      </c>
      <c r="V157" s="87">
        <f t="shared" si="19"/>
        <v>2.7</v>
      </c>
      <c r="W157" s="270"/>
    </row>
    <row r="158" spans="1:23" s="250" customFormat="1" ht="12" customHeight="1">
      <c r="A158" s="51">
        <v>17</v>
      </c>
      <c r="B158" s="39" t="s">
        <v>74</v>
      </c>
      <c r="C158" s="52" t="s">
        <v>8</v>
      </c>
      <c r="D158" s="273">
        <f>D161+D160+D159</f>
        <v>0</v>
      </c>
      <c r="E158" s="274">
        <f>E161+E160+E159</f>
        <v>0</v>
      </c>
      <c r="F158" s="273">
        <v>5574</v>
      </c>
      <c r="G158" s="390">
        <v>542.8</v>
      </c>
      <c r="H158" s="263">
        <f>H161+H160+H159</f>
        <v>542.8</v>
      </c>
      <c r="I158" s="263">
        <f>I161+I160+I159</f>
        <v>542.8</v>
      </c>
      <c r="J158" s="376">
        <f>J161+J160+J159</f>
        <v>574.94</v>
      </c>
      <c r="K158" s="88">
        <f t="shared" si="13"/>
        <v>5.9</v>
      </c>
      <c r="L158" s="204">
        <f>L161+L160+L159</f>
        <v>0</v>
      </c>
      <c r="M158" s="88">
        <f t="shared" si="14"/>
        <v>-100</v>
      </c>
      <c r="N158" s="89">
        <f t="shared" si="17"/>
        <v>-574.94</v>
      </c>
      <c r="O158" s="87">
        <f>L158/($L$198+1E-103)*100</f>
        <v>0</v>
      </c>
      <c r="P158" s="263">
        <f>P161+P160+P159</f>
        <v>542.8</v>
      </c>
      <c r="Q158" s="264">
        <f t="shared" si="15"/>
        <v>0</v>
      </c>
      <c r="R158" s="263">
        <f>R161+R160+R159</f>
        <v>559.08</v>
      </c>
      <c r="S158" s="206">
        <f t="shared" si="20"/>
        <v>3</v>
      </c>
      <c r="T158" s="206">
        <f t="shared" si="16"/>
        <v>3</v>
      </c>
      <c r="U158" s="207">
        <f t="shared" si="18"/>
        <v>-15.9</v>
      </c>
      <c r="V158" s="87">
        <f t="shared" si="19"/>
        <v>5</v>
      </c>
      <c r="W158" s="275"/>
    </row>
    <row r="159" spans="1:23" ht="12" customHeight="1">
      <c r="A159" s="1" t="s">
        <v>62</v>
      </c>
      <c r="B159" s="40" t="s">
        <v>23</v>
      </c>
      <c r="C159" s="31" t="s">
        <v>8</v>
      </c>
      <c r="D159" s="213"/>
      <c r="E159" s="272"/>
      <c r="F159" s="295">
        <v>885.5</v>
      </c>
      <c r="G159" s="389">
        <v>131.7</v>
      </c>
      <c r="H159" s="98">
        <f>I159</f>
        <v>131.7</v>
      </c>
      <c r="I159" s="98">
        <v>131.7</v>
      </c>
      <c r="J159" s="369">
        <v>151.51</v>
      </c>
      <c r="K159" s="90">
        <f t="shared" si="13"/>
        <v>15</v>
      </c>
      <c r="L159" s="213"/>
      <c r="M159" s="90">
        <f t="shared" si="14"/>
        <v>-100</v>
      </c>
      <c r="N159" s="91">
        <f t="shared" si="17"/>
        <v>-151.51</v>
      </c>
      <c r="O159" s="106"/>
      <c r="P159" s="260">
        <f>H159</f>
        <v>131.7</v>
      </c>
      <c r="Q159" s="276">
        <f t="shared" si="15"/>
        <v>0</v>
      </c>
      <c r="R159" s="277">
        <f>H159*1.03</f>
        <v>135.65</v>
      </c>
      <c r="S159" s="212">
        <f t="shared" si="20"/>
        <v>3</v>
      </c>
      <c r="T159" s="212">
        <f t="shared" si="16"/>
        <v>3</v>
      </c>
      <c r="U159" s="211">
        <f t="shared" si="18"/>
        <v>-15.9</v>
      </c>
      <c r="V159" s="106">
        <f t="shared" si="19"/>
        <v>1.2</v>
      </c>
      <c r="W159" s="160"/>
    </row>
    <row r="160" spans="1:23" ht="12" customHeight="1">
      <c r="A160" s="1" t="s">
        <v>62</v>
      </c>
      <c r="B160" s="40" t="s">
        <v>16</v>
      </c>
      <c r="C160" s="31" t="s">
        <v>8</v>
      </c>
      <c r="D160" s="213"/>
      <c r="E160" s="272"/>
      <c r="F160" s="295">
        <v>2208.6</v>
      </c>
      <c r="G160" s="389">
        <v>318.7</v>
      </c>
      <c r="H160" s="98">
        <f>I160</f>
        <v>318.7</v>
      </c>
      <c r="I160" s="98">
        <v>318.7</v>
      </c>
      <c r="J160" s="369">
        <f>R160</f>
        <v>328.26</v>
      </c>
      <c r="K160" s="90">
        <f t="shared" si="13"/>
        <v>3</v>
      </c>
      <c r="L160" s="213"/>
      <c r="M160" s="90"/>
      <c r="N160" s="91"/>
      <c r="O160" s="106"/>
      <c r="P160" s="260">
        <f>H160</f>
        <v>318.7</v>
      </c>
      <c r="Q160" s="276">
        <f t="shared" si="15"/>
        <v>0</v>
      </c>
      <c r="R160" s="277">
        <f>H160*1.03</f>
        <v>328.26</v>
      </c>
      <c r="S160" s="212">
        <f>R160/(P160+1E-106)*100-100</f>
        <v>3</v>
      </c>
      <c r="T160" s="212">
        <f t="shared" si="16"/>
        <v>3</v>
      </c>
      <c r="U160" s="211">
        <f>R160-J160</f>
        <v>0</v>
      </c>
      <c r="V160" s="106">
        <f>R160/($R$198+1E-103)*100</f>
        <v>2.9</v>
      </c>
      <c r="W160" s="160"/>
    </row>
    <row r="161" spans="1:24" ht="12" customHeight="1">
      <c r="A161" s="1" t="s">
        <v>62</v>
      </c>
      <c r="B161" s="40" t="s">
        <v>24</v>
      </c>
      <c r="C161" s="31" t="s">
        <v>8</v>
      </c>
      <c r="D161" s="213"/>
      <c r="E161" s="236"/>
      <c r="F161" s="213">
        <v>2479.9</v>
      </c>
      <c r="G161" s="252">
        <v>92.4</v>
      </c>
      <c r="H161" s="98">
        <f>I161</f>
        <v>92.4</v>
      </c>
      <c r="I161" s="98">
        <v>92.4</v>
      </c>
      <c r="J161" s="369">
        <f>R161</f>
        <v>95.17</v>
      </c>
      <c r="K161" s="90">
        <f t="shared" si="13"/>
        <v>3</v>
      </c>
      <c r="L161" s="213"/>
      <c r="M161" s="90"/>
      <c r="N161" s="91"/>
      <c r="O161" s="106"/>
      <c r="P161" s="260">
        <f>H161</f>
        <v>92.4</v>
      </c>
      <c r="Q161" s="276">
        <f t="shared" si="15"/>
        <v>0</v>
      </c>
      <c r="R161" s="277">
        <f>H161*1.03</f>
        <v>95.17</v>
      </c>
      <c r="S161" s="212">
        <f>R161/(P161+1E-106)*100-100</f>
        <v>3</v>
      </c>
      <c r="T161" s="212">
        <f t="shared" si="16"/>
        <v>3</v>
      </c>
      <c r="U161" s="211">
        <f>R161-J161</f>
        <v>0</v>
      </c>
      <c r="V161" s="106">
        <f>R161/($R$198+1E-103)*100</f>
        <v>0.8</v>
      </c>
      <c r="W161" s="160"/>
      <c r="X161" s="12"/>
    </row>
    <row r="162" spans="1:24" s="250" customFormat="1" ht="12" customHeight="1">
      <c r="A162" s="51">
        <v>18</v>
      </c>
      <c r="B162" s="39" t="s">
        <v>117</v>
      </c>
      <c r="C162" s="52" t="s">
        <v>8</v>
      </c>
      <c r="D162" s="204">
        <f>D163+D166+D167</f>
        <v>0</v>
      </c>
      <c r="E162" s="248">
        <f>E163+E166+E167</f>
        <v>0</v>
      </c>
      <c r="F162" s="204">
        <v>5440.35</v>
      </c>
      <c r="G162" s="255">
        <v>676.37</v>
      </c>
      <c r="H162" s="278">
        <f>H163+H166+H167</f>
        <v>519.1</v>
      </c>
      <c r="I162" s="105">
        <f>I163+I166</f>
        <v>676.37</v>
      </c>
      <c r="J162" s="371">
        <f>J163+J166+J167</f>
        <v>669.4</v>
      </c>
      <c r="K162" s="88">
        <f t="shared" si="13"/>
        <v>29</v>
      </c>
      <c r="L162" s="204">
        <f>L163+L166+L167</f>
        <v>0</v>
      </c>
      <c r="M162" s="88">
        <f>L162/(H162+1E-106)*100-100</f>
        <v>-100</v>
      </c>
      <c r="N162" s="89">
        <f t="shared" si="17"/>
        <v>-669.4</v>
      </c>
      <c r="O162" s="87">
        <f>L162/($L$198+1E-103)*100</f>
        <v>0</v>
      </c>
      <c r="P162" s="278">
        <f>P163+P166+P167</f>
        <v>519.1</v>
      </c>
      <c r="Q162" s="207">
        <f t="shared" si="15"/>
        <v>0</v>
      </c>
      <c r="R162" s="278">
        <f>R163+R166+R167</f>
        <v>544.9</v>
      </c>
      <c r="S162" s="206">
        <f t="shared" si="20"/>
        <v>5</v>
      </c>
      <c r="T162" s="206">
        <f t="shared" si="16"/>
        <v>5</v>
      </c>
      <c r="U162" s="207">
        <f t="shared" si="18"/>
        <v>-124.5</v>
      </c>
      <c r="V162" s="87">
        <f t="shared" si="19"/>
        <v>4.9</v>
      </c>
      <c r="W162" s="270"/>
      <c r="X162" s="279"/>
    </row>
    <row r="163" spans="1:24" ht="12" customHeight="1">
      <c r="A163" s="1" t="s">
        <v>62</v>
      </c>
      <c r="B163" s="40" t="s">
        <v>118</v>
      </c>
      <c r="C163" s="31" t="s">
        <v>8</v>
      </c>
      <c r="D163" s="213"/>
      <c r="E163" s="236"/>
      <c r="F163" s="213">
        <v>4059.96</v>
      </c>
      <c r="G163" s="252">
        <v>504</v>
      </c>
      <c r="H163" s="98">
        <f>10*3*12</f>
        <v>360</v>
      </c>
      <c r="I163" s="98">
        <v>504</v>
      </c>
      <c r="J163" s="365">
        <v>504</v>
      </c>
      <c r="K163" s="90">
        <f t="shared" si="13"/>
        <v>40</v>
      </c>
      <c r="L163" s="213"/>
      <c r="M163" s="90">
        <f>L163/(H163+1E-106)*100-100</f>
        <v>-100</v>
      </c>
      <c r="N163" s="91">
        <f t="shared" si="17"/>
        <v>-504</v>
      </c>
      <c r="O163" s="106"/>
      <c r="P163" s="234">
        <f>H163</f>
        <v>360</v>
      </c>
      <c r="Q163" s="211">
        <f t="shared" si="15"/>
        <v>0</v>
      </c>
      <c r="R163" s="278">
        <f>P163*1.051</f>
        <v>378.4</v>
      </c>
      <c r="S163" s="212">
        <f t="shared" si="20"/>
        <v>5.1</v>
      </c>
      <c r="T163" s="212">
        <f t="shared" si="16"/>
        <v>5.1</v>
      </c>
      <c r="U163" s="211">
        <f t="shared" si="18"/>
        <v>-125.6</v>
      </c>
      <c r="V163" s="106">
        <f t="shared" si="19"/>
        <v>3.4</v>
      </c>
      <c r="W163" s="163"/>
      <c r="X163" s="12"/>
    </row>
    <row r="164" spans="1:24" ht="12" customHeight="1">
      <c r="A164" s="1"/>
      <c r="B164" s="40" t="s">
        <v>169</v>
      </c>
      <c r="C164" s="44" t="s">
        <v>14</v>
      </c>
      <c r="D164" s="214">
        <f>D163/12/(D165+1E-100)*1000</f>
        <v>0</v>
      </c>
      <c r="E164" s="252">
        <f>E163/12/(E165+1E-100)*1000</f>
        <v>0</v>
      </c>
      <c r="F164" s="213">
        <v>2524.85</v>
      </c>
      <c r="G164" s="252">
        <v>14000</v>
      </c>
      <c r="H164" s="234">
        <f>H163/12/(H165+1E-100)*1000</f>
        <v>10000</v>
      </c>
      <c r="I164" s="234">
        <v>14000</v>
      </c>
      <c r="J164" s="365">
        <f>J163/J165/12*1000</f>
        <v>14000</v>
      </c>
      <c r="K164" s="90">
        <f t="shared" si="13"/>
        <v>40</v>
      </c>
      <c r="L164" s="213"/>
      <c r="M164" s="90">
        <f>L164/(H164+1E-106)*100-100</f>
        <v>-100</v>
      </c>
      <c r="N164" s="91"/>
      <c r="O164" s="106"/>
      <c r="P164" s="234">
        <f>H164</f>
        <v>10000</v>
      </c>
      <c r="Q164" s="211">
        <f t="shared" si="15"/>
        <v>0</v>
      </c>
      <c r="R164" s="234">
        <f>R163/12/(R165+1E-100)*1000</f>
        <v>10511.1</v>
      </c>
      <c r="S164" s="212">
        <f t="shared" si="20"/>
        <v>5.1</v>
      </c>
      <c r="T164" s="212">
        <f t="shared" si="16"/>
        <v>5.1</v>
      </c>
      <c r="U164" s="211">
        <f t="shared" si="18"/>
        <v>-3488.9</v>
      </c>
      <c r="V164" s="106"/>
      <c r="W164" s="163"/>
      <c r="X164" s="12"/>
    </row>
    <row r="165" spans="1:24" ht="12" customHeight="1">
      <c r="A165" s="1"/>
      <c r="B165" s="40" t="s">
        <v>35</v>
      </c>
      <c r="C165" s="44" t="s">
        <v>42</v>
      </c>
      <c r="D165" s="214"/>
      <c r="E165" s="236"/>
      <c r="F165" s="213">
        <v>134</v>
      </c>
      <c r="G165" s="252">
        <v>3</v>
      </c>
      <c r="H165" s="98">
        <v>3</v>
      </c>
      <c r="I165" s="98">
        <v>3</v>
      </c>
      <c r="J165" s="365">
        <f>R165</f>
        <v>3</v>
      </c>
      <c r="K165" s="90">
        <f t="shared" si="13"/>
        <v>0</v>
      </c>
      <c r="L165" s="213"/>
      <c r="M165" s="90">
        <f>L165/(H165+1E-106)*100-100</f>
        <v>-100</v>
      </c>
      <c r="N165" s="91"/>
      <c r="O165" s="106"/>
      <c r="P165" s="234">
        <f>H165</f>
        <v>3</v>
      </c>
      <c r="Q165" s="211">
        <f t="shared" si="15"/>
        <v>0</v>
      </c>
      <c r="R165" s="234">
        <f>H165</f>
        <v>3</v>
      </c>
      <c r="S165" s="212">
        <f t="shared" si="20"/>
        <v>0</v>
      </c>
      <c r="T165" s="212">
        <f t="shared" si="16"/>
        <v>0</v>
      </c>
      <c r="U165" s="211">
        <f t="shared" si="18"/>
        <v>0</v>
      </c>
      <c r="V165" s="106">
        <f t="shared" si="19"/>
        <v>0</v>
      </c>
      <c r="W165" s="163"/>
      <c r="X165" s="12"/>
    </row>
    <row r="166" spans="1:24" ht="12" customHeight="1">
      <c r="A166" s="1" t="s">
        <v>62</v>
      </c>
      <c r="B166" s="40" t="s">
        <v>194</v>
      </c>
      <c r="C166" s="31" t="s">
        <v>8</v>
      </c>
      <c r="D166" s="213"/>
      <c r="E166" s="236"/>
      <c r="F166" s="213">
        <v>1380.39</v>
      </c>
      <c r="G166" s="252">
        <v>172.37</v>
      </c>
      <c r="H166" s="247">
        <f>H163*0.342</f>
        <v>123.12</v>
      </c>
      <c r="I166" s="247">
        <f>I163*0.342</f>
        <v>172.37</v>
      </c>
      <c r="J166" s="365">
        <f>R166</f>
        <v>129.41</v>
      </c>
      <c r="K166" s="90">
        <f t="shared" si="13"/>
        <v>5.1</v>
      </c>
      <c r="L166" s="213"/>
      <c r="M166" s="90">
        <f>L166/(H166+1E-106)*100-100</f>
        <v>-100</v>
      </c>
      <c r="N166" s="91">
        <f t="shared" si="17"/>
        <v>-129.41</v>
      </c>
      <c r="O166" s="106"/>
      <c r="P166" s="247">
        <f>H166</f>
        <v>123.12</v>
      </c>
      <c r="Q166" s="211">
        <f t="shared" si="15"/>
        <v>0</v>
      </c>
      <c r="R166" s="247">
        <f>R163*0.342</f>
        <v>129.41</v>
      </c>
      <c r="S166" s="212">
        <f t="shared" si="20"/>
        <v>5.1</v>
      </c>
      <c r="T166" s="212">
        <f t="shared" si="16"/>
        <v>5.1</v>
      </c>
      <c r="U166" s="211">
        <f t="shared" si="18"/>
        <v>0</v>
      </c>
      <c r="V166" s="106">
        <f t="shared" si="19"/>
        <v>1.2</v>
      </c>
      <c r="W166" s="163"/>
      <c r="X166" s="12"/>
    </row>
    <row r="167" spans="1:24" ht="12" customHeight="1">
      <c r="A167" s="1" t="s">
        <v>62</v>
      </c>
      <c r="B167" s="40" t="s">
        <v>68</v>
      </c>
      <c r="C167" s="31" t="s">
        <v>8</v>
      </c>
      <c r="D167" s="214"/>
      <c r="E167" s="236"/>
      <c r="F167" s="213">
        <v>0</v>
      </c>
      <c r="G167" s="252">
        <v>36</v>
      </c>
      <c r="H167" s="98">
        <f>I167</f>
        <v>36</v>
      </c>
      <c r="I167" s="105">
        <v>36</v>
      </c>
      <c r="J167" s="365">
        <v>36</v>
      </c>
      <c r="K167" s="90">
        <f t="shared" si="13"/>
        <v>0</v>
      </c>
      <c r="L167" s="213"/>
      <c r="M167" s="90"/>
      <c r="N167" s="91"/>
      <c r="O167" s="106"/>
      <c r="P167" s="234">
        <f>H167</f>
        <v>36</v>
      </c>
      <c r="Q167" s="211">
        <f t="shared" si="15"/>
        <v>0</v>
      </c>
      <c r="R167" s="234">
        <f>P167*1.03</f>
        <v>37.1</v>
      </c>
      <c r="S167" s="212">
        <f>R167/(P167+1E-106)*100-100</f>
        <v>3.1</v>
      </c>
      <c r="T167" s="212">
        <f>R167/(H167+1E-106)*100-100</f>
        <v>3.1</v>
      </c>
      <c r="U167" s="211">
        <f>R167-J167</f>
        <v>1.1</v>
      </c>
      <c r="V167" s="106">
        <f>R167/($R$198+1E-103)*100</f>
        <v>0.3</v>
      </c>
      <c r="W167" s="163"/>
      <c r="X167" s="12"/>
    </row>
    <row r="168" spans="1:24" s="250" customFormat="1" ht="12" customHeight="1">
      <c r="A168" s="51">
        <v>19</v>
      </c>
      <c r="B168" s="39" t="s">
        <v>119</v>
      </c>
      <c r="C168" s="52" t="s">
        <v>8</v>
      </c>
      <c r="D168" s="204">
        <f>D169+D172+D173</f>
        <v>0</v>
      </c>
      <c r="E168" s="248">
        <f>E169+E172+E173</f>
        <v>0</v>
      </c>
      <c r="F168" s="204">
        <v>49.59</v>
      </c>
      <c r="G168" s="255">
        <v>5.81</v>
      </c>
      <c r="H168" s="105">
        <f>H173</f>
        <v>5.81</v>
      </c>
      <c r="I168" s="105">
        <v>5.81</v>
      </c>
      <c r="J168" s="371">
        <f>J169+J172+J173</f>
        <v>6</v>
      </c>
      <c r="K168" s="88">
        <f t="shared" si="13"/>
        <v>3.3</v>
      </c>
      <c r="L168" s="204">
        <f>L169+L172+L173</f>
        <v>0</v>
      </c>
      <c r="M168" s="88">
        <f aca="true" t="shared" si="21" ref="M168:M174">L168/(H168+1E-106)*100-100</f>
        <v>-100</v>
      </c>
      <c r="N168" s="89">
        <f t="shared" si="17"/>
        <v>-6</v>
      </c>
      <c r="O168" s="87">
        <f>L168/($L$198+1E-103)*100</f>
        <v>0</v>
      </c>
      <c r="P168" s="282">
        <f>P173</f>
        <v>5.81</v>
      </c>
      <c r="Q168" s="207">
        <f t="shared" si="15"/>
        <v>0</v>
      </c>
      <c r="R168" s="278">
        <f>R173</f>
        <v>6</v>
      </c>
      <c r="S168" s="206">
        <f t="shared" si="20"/>
        <v>3.3</v>
      </c>
      <c r="T168" s="206">
        <f aca="true" t="shared" si="22" ref="T168:T176">R168/(H168+1E-106)*100-100</f>
        <v>3.3</v>
      </c>
      <c r="U168" s="207">
        <f t="shared" si="18"/>
        <v>0</v>
      </c>
      <c r="V168" s="87">
        <f t="shared" si="19"/>
        <v>0.1</v>
      </c>
      <c r="W168" s="270"/>
      <c r="X168" s="280"/>
    </row>
    <row r="169" spans="1:24" ht="12" customHeight="1" hidden="1">
      <c r="A169" s="1" t="s">
        <v>62</v>
      </c>
      <c r="B169" s="40" t="s">
        <v>118</v>
      </c>
      <c r="C169" s="31" t="s">
        <v>8</v>
      </c>
      <c r="D169" s="213"/>
      <c r="E169" s="236"/>
      <c r="F169" s="213"/>
      <c r="G169" s="252"/>
      <c r="H169" s="98"/>
      <c r="I169" s="98"/>
      <c r="J169" s="369"/>
      <c r="K169" s="90">
        <f t="shared" si="13"/>
        <v>-100</v>
      </c>
      <c r="L169" s="213"/>
      <c r="M169" s="90">
        <f t="shared" si="21"/>
        <v>-100</v>
      </c>
      <c r="N169" s="91">
        <f t="shared" si="17"/>
        <v>0</v>
      </c>
      <c r="O169" s="106"/>
      <c r="P169" s="277">
        <f>H169</f>
        <v>0</v>
      </c>
      <c r="Q169" s="211">
        <f t="shared" si="15"/>
        <v>-100</v>
      </c>
      <c r="R169" s="265">
        <f>H169*1.51</f>
        <v>0</v>
      </c>
      <c r="S169" s="212">
        <f t="shared" si="20"/>
        <v>-100</v>
      </c>
      <c r="T169" s="212">
        <f t="shared" si="22"/>
        <v>-100</v>
      </c>
      <c r="U169" s="211">
        <f t="shared" si="18"/>
        <v>0</v>
      </c>
      <c r="V169" s="106">
        <f t="shared" si="19"/>
        <v>0</v>
      </c>
      <c r="W169" s="163"/>
      <c r="X169" s="5"/>
    </row>
    <row r="170" spans="1:24" ht="12" customHeight="1" hidden="1">
      <c r="A170" s="1"/>
      <c r="B170" s="40" t="s">
        <v>169</v>
      </c>
      <c r="C170" s="44" t="s">
        <v>14</v>
      </c>
      <c r="D170" s="213">
        <f>D169/12/(D171+1E-100)*1000</f>
        <v>0</v>
      </c>
      <c r="E170" s="252">
        <f>E169/12/(E171+1E-100)*1000</f>
        <v>0</v>
      </c>
      <c r="F170" s="213">
        <v>0</v>
      </c>
      <c r="G170" s="252"/>
      <c r="H170" s="98">
        <v>0</v>
      </c>
      <c r="I170" s="98"/>
      <c r="J170" s="365"/>
      <c r="K170" s="90">
        <f t="shared" si="13"/>
        <v>-100</v>
      </c>
      <c r="L170" s="213"/>
      <c r="M170" s="90">
        <f t="shared" si="21"/>
        <v>-100</v>
      </c>
      <c r="N170" s="91"/>
      <c r="O170" s="106"/>
      <c r="P170" s="234">
        <f>P169/12/(P171+1E-100)*1000</f>
        <v>0</v>
      </c>
      <c r="Q170" s="211">
        <f t="shared" si="15"/>
        <v>-100</v>
      </c>
      <c r="R170" s="235">
        <f>R169/12/(R171+1E-100)*1000</f>
        <v>0</v>
      </c>
      <c r="S170" s="212">
        <f t="shared" si="20"/>
        <v>-100</v>
      </c>
      <c r="T170" s="212">
        <f t="shared" si="22"/>
        <v>-100</v>
      </c>
      <c r="U170" s="211">
        <f t="shared" si="18"/>
        <v>0</v>
      </c>
      <c r="V170" s="106"/>
      <c r="W170" s="163"/>
      <c r="X170" s="5"/>
    </row>
    <row r="171" spans="1:24" ht="12" customHeight="1" hidden="1">
      <c r="A171" s="1"/>
      <c r="B171" s="40" t="s">
        <v>35</v>
      </c>
      <c r="C171" s="44" t="s">
        <v>42</v>
      </c>
      <c r="D171" s="281"/>
      <c r="E171" s="236"/>
      <c r="F171" s="213"/>
      <c r="G171" s="252"/>
      <c r="H171" s="98"/>
      <c r="I171" s="98"/>
      <c r="J171" s="365"/>
      <c r="K171" s="90">
        <f t="shared" si="13"/>
        <v>-100</v>
      </c>
      <c r="L171" s="213"/>
      <c r="M171" s="90">
        <f t="shared" si="21"/>
        <v>-100</v>
      </c>
      <c r="N171" s="91"/>
      <c r="O171" s="106"/>
      <c r="P171" s="277">
        <f>H171</f>
        <v>0</v>
      </c>
      <c r="Q171" s="211">
        <f t="shared" si="15"/>
        <v>-100</v>
      </c>
      <c r="R171" s="235">
        <f>H171</f>
        <v>0</v>
      </c>
      <c r="S171" s="212">
        <f t="shared" si="20"/>
        <v>-100</v>
      </c>
      <c r="T171" s="212">
        <f t="shared" si="22"/>
        <v>-100</v>
      </c>
      <c r="U171" s="211">
        <f t="shared" si="18"/>
        <v>0</v>
      </c>
      <c r="V171" s="106">
        <f t="shared" si="19"/>
        <v>0</v>
      </c>
      <c r="W171" s="163"/>
      <c r="X171" s="5"/>
    </row>
    <row r="172" spans="1:24" ht="12" customHeight="1" hidden="1">
      <c r="A172" s="1" t="s">
        <v>62</v>
      </c>
      <c r="B172" s="40" t="s">
        <v>194</v>
      </c>
      <c r="C172" s="31" t="s">
        <v>8</v>
      </c>
      <c r="D172" s="213"/>
      <c r="E172" s="236"/>
      <c r="F172" s="213"/>
      <c r="G172" s="252"/>
      <c r="H172" s="98"/>
      <c r="I172" s="98"/>
      <c r="J172" s="252"/>
      <c r="K172" s="90">
        <f t="shared" si="13"/>
        <v>-100</v>
      </c>
      <c r="L172" s="213"/>
      <c r="M172" s="90">
        <f t="shared" si="21"/>
        <v>-100</v>
      </c>
      <c r="N172" s="91">
        <f t="shared" si="17"/>
        <v>0</v>
      </c>
      <c r="O172" s="106"/>
      <c r="P172" s="247">
        <f>P169*0.342</f>
        <v>0</v>
      </c>
      <c r="Q172" s="211">
        <f t="shared" si="15"/>
        <v>-100</v>
      </c>
      <c r="R172" s="247">
        <f>R169*0.342</f>
        <v>0</v>
      </c>
      <c r="S172" s="212">
        <f t="shared" si="20"/>
        <v>-100</v>
      </c>
      <c r="T172" s="212">
        <f t="shared" si="22"/>
        <v>-100</v>
      </c>
      <c r="U172" s="211">
        <f t="shared" si="18"/>
        <v>0</v>
      </c>
      <c r="V172" s="106">
        <f t="shared" si="19"/>
        <v>0</v>
      </c>
      <c r="W172" s="163"/>
      <c r="X172" s="5"/>
    </row>
    <row r="173" spans="1:24" ht="12" customHeight="1">
      <c r="A173" s="1" t="s">
        <v>62</v>
      </c>
      <c r="B173" s="40" t="s">
        <v>68</v>
      </c>
      <c r="C173" s="31" t="s">
        <v>8</v>
      </c>
      <c r="D173" s="213"/>
      <c r="E173" s="236"/>
      <c r="F173" s="213">
        <v>49.59</v>
      </c>
      <c r="G173" s="252">
        <v>5.81</v>
      </c>
      <c r="H173" s="98">
        <f>I173</f>
        <v>5.81</v>
      </c>
      <c r="I173" s="98">
        <v>5.81</v>
      </c>
      <c r="J173" s="365">
        <f>R173</f>
        <v>6</v>
      </c>
      <c r="K173" s="90">
        <f t="shared" si="13"/>
        <v>3.3</v>
      </c>
      <c r="L173" s="213"/>
      <c r="M173" s="90">
        <f t="shared" si="21"/>
        <v>-100</v>
      </c>
      <c r="N173" s="91">
        <f t="shared" si="17"/>
        <v>-6</v>
      </c>
      <c r="O173" s="106"/>
      <c r="P173" s="277">
        <f>H173</f>
        <v>5.81</v>
      </c>
      <c r="Q173" s="211">
        <f t="shared" si="15"/>
        <v>0</v>
      </c>
      <c r="R173" s="234">
        <f>H173*1.03</f>
        <v>6</v>
      </c>
      <c r="S173" s="212">
        <f t="shared" si="20"/>
        <v>3.3</v>
      </c>
      <c r="T173" s="212">
        <f t="shared" si="22"/>
        <v>3.3</v>
      </c>
      <c r="U173" s="211">
        <f t="shared" si="18"/>
        <v>0</v>
      </c>
      <c r="V173" s="106">
        <f t="shared" si="19"/>
        <v>0.1</v>
      </c>
      <c r="W173" s="163"/>
      <c r="X173" s="5"/>
    </row>
    <row r="174" spans="1:24" s="250" customFormat="1" ht="12" customHeight="1">
      <c r="A174" s="51">
        <v>20</v>
      </c>
      <c r="B174" s="39" t="s">
        <v>66</v>
      </c>
      <c r="C174" s="52" t="s">
        <v>8</v>
      </c>
      <c r="D174" s="204">
        <f>D175+D176+D177+D178</f>
        <v>0</v>
      </c>
      <c r="E174" s="248">
        <f>E175+E176+E177+E178</f>
        <v>0</v>
      </c>
      <c r="F174" s="204">
        <v>663.75</v>
      </c>
      <c r="G174" s="255">
        <v>61.16</v>
      </c>
      <c r="H174" s="282">
        <f>H175+H176+H177+H178</f>
        <v>61.16</v>
      </c>
      <c r="I174" s="282">
        <f>I175+I176+I177+I178</f>
        <v>61.16</v>
      </c>
      <c r="J174" s="376">
        <f>J175+J176+J177+J178</f>
        <v>63</v>
      </c>
      <c r="K174" s="88">
        <f t="shared" si="13"/>
        <v>3</v>
      </c>
      <c r="L174" s="204">
        <f>L175+L176+L177+L178</f>
        <v>0</v>
      </c>
      <c r="M174" s="88">
        <f t="shared" si="21"/>
        <v>-100</v>
      </c>
      <c r="N174" s="89">
        <f t="shared" si="17"/>
        <v>-63</v>
      </c>
      <c r="O174" s="87">
        <f>L174/($L$198+1E-103)*100</f>
        <v>0</v>
      </c>
      <c r="P174" s="282">
        <f>P175+P176+P177+P178</f>
        <v>61.16</v>
      </c>
      <c r="Q174" s="207">
        <f t="shared" si="15"/>
        <v>0</v>
      </c>
      <c r="R174" s="278">
        <f>R175+R176+R177+R178</f>
        <v>63</v>
      </c>
      <c r="S174" s="206">
        <f t="shared" si="20"/>
        <v>3</v>
      </c>
      <c r="T174" s="206">
        <f t="shared" si="22"/>
        <v>3</v>
      </c>
      <c r="U174" s="207">
        <f t="shared" si="18"/>
        <v>0</v>
      </c>
      <c r="V174" s="87">
        <f t="shared" si="19"/>
        <v>0.6</v>
      </c>
      <c r="W174" s="275"/>
      <c r="X174" s="279"/>
    </row>
    <row r="175" spans="1:24" ht="12.75">
      <c r="A175" s="1" t="s">
        <v>62</v>
      </c>
      <c r="B175" s="40" t="s">
        <v>55</v>
      </c>
      <c r="C175" s="31" t="s">
        <v>8</v>
      </c>
      <c r="D175" s="213"/>
      <c r="E175" s="236"/>
      <c r="F175" s="213">
        <v>49.23</v>
      </c>
      <c r="G175" s="252">
        <v>4.5</v>
      </c>
      <c r="H175" s="98">
        <v>4.5</v>
      </c>
      <c r="I175" s="98">
        <v>4.5</v>
      </c>
      <c r="J175" s="365">
        <f>R175</f>
        <v>4.6</v>
      </c>
      <c r="K175" s="90">
        <f t="shared" si="13"/>
        <v>2.2</v>
      </c>
      <c r="L175" s="213"/>
      <c r="M175" s="90"/>
      <c r="N175" s="91"/>
      <c r="O175" s="106"/>
      <c r="P175" s="277">
        <f>H175</f>
        <v>4.5</v>
      </c>
      <c r="Q175" s="211">
        <f t="shared" si="15"/>
        <v>0</v>
      </c>
      <c r="R175" s="234">
        <f>H175*1.03</f>
        <v>4.6</v>
      </c>
      <c r="S175" s="212">
        <f>R175/(P175+1E-106)*100-100</f>
        <v>2.2</v>
      </c>
      <c r="T175" s="212">
        <f t="shared" si="22"/>
        <v>2.2</v>
      </c>
      <c r="U175" s="211">
        <f>R175-J175</f>
        <v>0</v>
      </c>
      <c r="V175" s="106">
        <f>R175/($R$198+1E-103)*100</f>
        <v>0</v>
      </c>
      <c r="W175" s="160"/>
      <c r="X175" s="12"/>
    </row>
    <row r="176" spans="1:24" ht="12.75">
      <c r="A176" s="1" t="s">
        <v>62</v>
      </c>
      <c r="B176" s="40" t="s">
        <v>56</v>
      </c>
      <c r="C176" s="31" t="s">
        <v>8</v>
      </c>
      <c r="D176" s="213"/>
      <c r="E176" s="236"/>
      <c r="F176" s="213">
        <v>92.74</v>
      </c>
      <c r="G176" s="252">
        <v>9.49</v>
      </c>
      <c r="H176" s="98">
        <f>I176</f>
        <v>9.49</v>
      </c>
      <c r="I176" s="98">
        <v>9.49</v>
      </c>
      <c r="J176" s="365">
        <f>R176</f>
        <v>9.8</v>
      </c>
      <c r="K176" s="90">
        <f t="shared" si="13"/>
        <v>3.3</v>
      </c>
      <c r="L176" s="213"/>
      <c r="M176" s="90"/>
      <c r="N176" s="91"/>
      <c r="O176" s="106"/>
      <c r="P176" s="277">
        <f>H176</f>
        <v>9.49</v>
      </c>
      <c r="Q176" s="211">
        <f t="shared" si="15"/>
        <v>0</v>
      </c>
      <c r="R176" s="234">
        <f>H176*1.03</f>
        <v>9.8</v>
      </c>
      <c r="S176" s="212">
        <f>R176/(P176+1E-106)*100-100</f>
        <v>3.3</v>
      </c>
      <c r="T176" s="212">
        <f t="shared" si="22"/>
        <v>3.3</v>
      </c>
      <c r="U176" s="211">
        <f>R176-J176</f>
        <v>0</v>
      </c>
      <c r="V176" s="106">
        <f>R176/($R$198+1E-103)*100</f>
        <v>0.1</v>
      </c>
      <c r="W176" s="161"/>
      <c r="X176" s="12"/>
    </row>
    <row r="177" spans="1:24" ht="12.75">
      <c r="A177" s="1" t="s">
        <v>62</v>
      </c>
      <c r="B177" s="40" t="s">
        <v>67</v>
      </c>
      <c r="C177" s="31" t="s">
        <v>8</v>
      </c>
      <c r="D177" s="213"/>
      <c r="E177" s="236"/>
      <c r="F177" s="213">
        <v>481.62</v>
      </c>
      <c r="G177" s="252">
        <v>18.07</v>
      </c>
      <c r="H177" s="98">
        <f>I177</f>
        <v>18.07</v>
      </c>
      <c r="I177" s="98">
        <v>18.07</v>
      </c>
      <c r="J177" s="365">
        <f>R177</f>
        <v>18.6</v>
      </c>
      <c r="K177" s="90">
        <f>J177/(H177+1E-133)*100-100</f>
        <v>2.9</v>
      </c>
      <c r="L177" s="213"/>
      <c r="M177" s="90">
        <f>L177/(H177+1E-106)*100-100</f>
        <v>-100</v>
      </c>
      <c r="N177" s="91">
        <f t="shared" si="17"/>
        <v>-18.6</v>
      </c>
      <c r="O177" s="106"/>
      <c r="P177" s="277">
        <f>H177</f>
        <v>18.07</v>
      </c>
      <c r="Q177" s="211">
        <f>P177/(H177+1E-106)*100-100</f>
        <v>0</v>
      </c>
      <c r="R177" s="234">
        <f>H177*1.03</f>
        <v>18.6</v>
      </c>
      <c r="S177" s="212">
        <f t="shared" si="20"/>
        <v>2.9</v>
      </c>
      <c r="T177" s="212">
        <f>R177/(H177+1E-106)*100-100</f>
        <v>2.9</v>
      </c>
      <c r="U177" s="211">
        <f t="shared" si="18"/>
        <v>0</v>
      </c>
      <c r="V177" s="106">
        <f t="shared" si="19"/>
        <v>0.2</v>
      </c>
      <c r="W177" s="161"/>
      <c r="X177" s="12"/>
    </row>
    <row r="178" spans="1:24" ht="12.75">
      <c r="A178" s="1" t="s">
        <v>62</v>
      </c>
      <c r="B178" s="40" t="s">
        <v>68</v>
      </c>
      <c r="C178" s="31" t="s">
        <v>8</v>
      </c>
      <c r="D178" s="213"/>
      <c r="E178" s="236"/>
      <c r="F178" s="213">
        <v>40.17</v>
      </c>
      <c r="G178" s="252">
        <v>29.1</v>
      </c>
      <c r="H178" s="98">
        <f>I178</f>
        <v>29.1</v>
      </c>
      <c r="I178" s="98">
        <v>29.1</v>
      </c>
      <c r="J178" s="365">
        <f>R178</f>
        <v>30</v>
      </c>
      <c r="K178" s="90">
        <f>J178/(H178+1E-133)*100-100</f>
        <v>3.1</v>
      </c>
      <c r="L178" s="213"/>
      <c r="M178" s="90">
        <f>L178/(H178+1E-106)*100-100</f>
        <v>-100</v>
      </c>
      <c r="N178" s="91">
        <f t="shared" si="17"/>
        <v>-30</v>
      </c>
      <c r="O178" s="106"/>
      <c r="P178" s="234">
        <f>H178</f>
        <v>29.1</v>
      </c>
      <c r="Q178" s="211">
        <f>P178/(H178+1E-106)*100-100</f>
        <v>0</v>
      </c>
      <c r="R178" s="234">
        <f>H178*1.03</f>
        <v>30</v>
      </c>
      <c r="S178" s="212">
        <f t="shared" si="20"/>
        <v>3.1</v>
      </c>
      <c r="T178" s="212">
        <f>R178/(H178+1E-106)*100-100</f>
        <v>3.1</v>
      </c>
      <c r="U178" s="211">
        <f t="shared" si="18"/>
        <v>0</v>
      </c>
      <c r="V178" s="106">
        <f t="shared" si="19"/>
        <v>0.3</v>
      </c>
      <c r="W178" s="161"/>
      <c r="X178" s="12"/>
    </row>
    <row r="179" spans="1:24" s="250" customFormat="1" ht="12.75">
      <c r="A179" s="51">
        <v>21</v>
      </c>
      <c r="B179" s="39" t="s">
        <v>52</v>
      </c>
      <c r="C179" s="52" t="s">
        <v>8</v>
      </c>
      <c r="D179" s="202">
        <f>D180+D181+D182</f>
        <v>0</v>
      </c>
      <c r="E179" s="248">
        <f>E180+E181+E182</f>
        <v>0</v>
      </c>
      <c r="F179" s="204">
        <v>934.87</v>
      </c>
      <c r="G179" s="255">
        <v>284.76</v>
      </c>
      <c r="H179" s="113">
        <f>H180+H181+H182</f>
        <v>199.56</v>
      </c>
      <c r="I179" s="105">
        <f>I180+I181+I182</f>
        <v>284.76</v>
      </c>
      <c r="J179" s="371">
        <f>J180+J181+J182</f>
        <v>284.8</v>
      </c>
      <c r="K179" s="88">
        <f>J179/(H179+1E-133)*100-100</f>
        <v>42.7</v>
      </c>
      <c r="L179" s="204">
        <f>L180+L181+L182</f>
        <v>0</v>
      </c>
      <c r="M179" s="88">
        <f>L179/(H179+1E-106)*100-100</f>
        <v>-100</v>
      </c>
      <c r="N179" s="89">
        <f t="shared" si="17"/>
        <v>-284.8</v>
      </c>
      <c r="O179" s="87">
        <f>L179/($L$198+1E-103)*100</f>
        <v>0</v>
      </c>
      <c r="P179" s="278">
        <f>P180+P181+P182</f>
        <v>199.6</v>
      </c>
      <c r="Q179" s="207">
        <f>P179/(H179+1E-106)*100-100</f>
        <v>0</v>
      </c>
      <c r="R179" s="278">
        <f>R180+R181+R182</f>
        <v>199.6</v>
      </c>
      <c r="S179" s="206">
        <f t="shared" si="20"/>
        <v>0</v>
      </c>
      <c r="T179" s="206">
        <f>R179/(H179+1E-106)*100-100</f>
        <v>0</v>
      </c>
      <c r="U179" s="207">
        <f t="shared" si="18"/>
        <v>-85.2</v>
      </c>
      <c r="V179" s="87">
        <f t="shared" si="19"/>
        <v>1.8</v>
      </c>
      <c r="W179" s="275"/>
      <c r="X179" s="279"/>
    </row>
    <row r="180" spans="1:24" ht="12.75">
      <c r="A180" s="1" t="s">
        <v>62</v>
      </c>
      <c r="B180" s="40" t="s">
        <v>53</v>
      </c>
      <c r="C180" s="31" t="s">
        <v>8</v>
      </c>
      <c r="D180" s="214"/>
      <c r="E180" s="236"/>
      <c r="F180" s="213">
        <v>477.87</v>
      </c>
      <c r="G180" s="252">
        <v>16.96</v>
      </c>
      <c r="H180" s="98">
        <v>16.96</v>
      </c>
      <c r="I180" s="98">
        <v>16.96</v>
      </c>
      <c r="J180" s="365">
        <v>17</v>
      </c>
      <c r="K180" s="90">
        <f>J180/(H180+1E-133)*100-100</f>
        <v>0.2</v>
      </c>
      <c r="L180" s="213"/>
      <c r="M180" s="90"/>
      <c r="N180" s="91"/>
      <c r="O180" s="106"/>
      <c r="P180" s="277">
        <f>H180</f>
        <v>16.96</v>
      </c>
      <c r="Q180" s="211">
        <f aca="true" t="shared" si="23" ref="Q180:Q187">P180/(H180+1E-106)*100-100</f>
        <v>0</v>
      </c>
      <c r="R180" s="234">
        <f>H180</f>
        <v>17</v>
      </c>
      <c r="S180" s="212">
        <f>R180/(P180+1E-106)*100-100</f>
        <v>0.2</v>
      </c>
      <c r="T180" s="212">
        <f>R180/(H180+1E-106)*100-100</f>
        <v>0.2</v>
      </c>
      <c r="U180" s="211">
        <f>R180-J180</f>
        <v>0</v>
      </c>
      <c r="V180" s="106">
        <f>R180/($R$198+1E-103)*100</f>
        <v>0.2</v>
      </c>
      <c r="W180" s="160"/>
      <c r="X180" s="12"/>
    </row>
    <row r="181" spans="1:24" ht="12.75">
      <c r="A181" s="1" t="s">
        <v>62</v>
      </c>
      <c r="B181" s="40" t="s">
        <v>54</v>
      </c>
      <c r="C181" s="31" t="s">
        <v>8</v>
      </c>
      <c r="D181" s="214"/>
      <c r="E181" s="236"/>
      <c r="F181" s="213">
        <v>141.7</v>
      </c>
      <c r="G181" s="252">
        <v>106.5</v>
      </c>
      <c r="H181" s="98">
        <f>106.5/5</f>
        <v>21.3</v>
      </c>
      <c r="I181" s="98">
        <v>106.5</v>
      </c>
      <c r="J181" s="365">
        <v>106.5</v>
      </c>
      <c r="K181" s="90">
        <f aca="true" t="shared" si="24" ref="K181:K187">J181/(H181+1E-133)*100-100</f>
        <v>400</v>
      </c>
      <c r="L181" s="213"/>
      <c r="M181" s="90">
        <f aca="true" t="shared" si="25" ref="M181:M187">L181/(H181+1E-106)*100-100</f>
        <v>-100</v>
      </c>
      <c r="N181" s="91">
        <f t="shared" si="17"/>
        <v>-106.5</v>
      </c>
      <c r="O181" s="106"/>
      <c r="P181" s="234">
        <f>H181</f>
        <v>21.3</v>
      </c>
      <c r="Q181" s="211">
        <f t="shared" si="23"/>
        <v>0</v>
      </c>
      <c r="R181" s="234">
        <f>H181</f>
        <v>21.3</v>
      </c>
      <c r="S181" s="212">
        <f t="shared" si="20"/>
        <v>0</v>
      </c>
      <c r="T181" s="212">
        <f aca="true" t="shared" si="26" ref="T181:T187">R181/(H181+1E-106)*100-100</f>
        <v>0</v>
      </c>
      <c r="U181" s="211">
        <f t="shared" si="18"/>
        <v>-85.2</v>
      </c>
      <c r="V181" s="106">
        <f t="shared" si="19"/>
        <v>0.2</v>
      </c>
      <c r="W181" s="382" t="s">
        <v>236</v>
      </c>
      <c r="X181" s="12"/>
    </row>
    <row r="182" spans="1:24" ht="12.75">
      <c r="A182" s="1" t="s">
        <v>62</v>
      </c>
      <c r="B182" s="40" t="s">
        <v>69</v>
      </c>
      <c r="C182" s="31" t="s">
        <v>8</v>
      </c>
      <c r="D182" s="214"/>
      <c r="E182" s="236"/>
      <c r="F182" s="213">
        <v>315.3</v>
      </c>
      <c r="G182" s="252">
        <v>161.3</v>
      </c>
      <c r="H182" s="98">
        <v>161.3</v>
      </c>
      <c r="I182" s="98">
        <v>161.3</v>
      </c>
      <c r="J182" s="365">
        <v>161.3</v>
      </c>
      <c r="K182" s="90">
        <f t="shared" si="24"/>
        <v>0</v>
      </c>
      <c r="L182" s="213"/>
      <c r="M182" s="90">
        <f t="shared" si="25"/>
        <v>-100</v>
      </c>
      <c r="N182" s="91">
        <f t="shared" si="17"/>
        <v>-161.3</v>
      </c>
      <c r="O182" s="106"/>
      <c r="P182" s="234">
        <f>H182</f>
        <v>161.3</v>
      </c>
      <c r="Q182" s="211">
        <f t="shared" si="23"/>
        <v>0</v>
      </c>
      <c r="R182" s="234">
        <f>H182</f>
        <v>161.3</v>
      </c>
      <c r="S182" s="212">
        <f t="shared" si="20"/>
        <v>0</v>
      </c>
      <c r="T182" s="212">
        <f t="shared" si="26"/>
        <v>0</v>
      </c>
      <c r="U182" s="211">
        <f t="shared" si="18"/>
        <v>0</v>
      </c>
      <c r="V182" s="106">
        <f t="shared" si="19"/>
        <v>1.4</v>
      </c>
      <c r="W182" s="160"/>
      <c r="X182" s="12"/>
    </row>
    <row r="183" spans="1:24" ht="25.5">
      <c r="A183" s="51">
        <v>22</v>
      </c>
      <c r="B183" s="40" t="s">
        <v>51</v>
      </c>
      <c r="C183" s="31" t="s">
        <v>8</v>
      </c>
      <c r="D183" s="214"/>
      <c r="E183" s="236"/>
      <c r="F183" s="213"/>
      <c r="G183" s="252"/>
      <c r="H183" s="98"/>
      <c r="I183" s="98"/>
      <c r="J183" s="365"/>
      <c r="K183" s="90">
        <f t="shared" si="24"/>
        <v>-100</v>
      </c>
      <c r="L183" s="213"/>
      <c r="M183" s="90">
        <f t="shared" si="25"/>
        <v>-100</v>
      </c>
      <c r="N183" s="91">
        <f>L183-J183</f>
        <v>0</v>
      </c>
      <c r="O183" s="106">
        <f>L183/($L$198+1E-103)*100</f>
        <v>0</v>
      </c>
      <c r="P183" s="235">
        <f>H183*1.06</f>
        <v>0</v>
      </c>
      <c r="Q183" s="211">
        <f t="shared" si="23"/>
        <v>-100</v>
      </c>
      <c r="R183" s="234">
        <f>H183*1.12</f>
        <v>0</v>
      </c>
      <c r="S183" s="212">
        <f t="shared" si="20"/>
        <v>-100</v>
      </c>
      <c r="T183" s="212">
        <f t="shared" si="26"/>
        <v>-100</v>
      </c>
      <c r="U183" s="211">
        <f t="shared" si="18"/>
        <v>0</v>
      </c>
      <c r="V183" s="106">
        <f t="shared" si="19"/>
        <v>0</v>
      </c>
      <c r="W183" s="160"/>
      <c r="X183" s="12"/>
    </row>
    <row r="184" spans="1:24" ht="25.5" customHeight="1">
      <c r="A184" s="51">
        <v>23</v>
      </c>
      <c r="B184" s="39" t="s">
        <v>110</v>
      </c>
      <c r="C184" s="52" t="s">
        <v>8</v>
      </c>
      <c r="D184" s="202">
        <f aca="true" t="shared" si="27" ref="D184:J184">D132+D140+D151+D152+D153+D156+D157+D158+D162+D168+D174+D179+D183</f>
        <v>0</v>
      </c>
      <c r="E184" s="248">
        <f t="shared" si="27"/>
        <v>0</v>
      </c>
      <c r="F184" s="265">
        <f t="shared" si="27"/>
        <v>148860.8</v>
      </c>
      <c r="G184" s="371">
        <v>12217</v>
      </c>
      <c r="H184" s="265">
        <f t="shared" si="27"/>
        <v>9747.8</v>
      </c>
      <c r="I184" s="265">
        <f t="shared" si="27"/>
        <v>12217</v>
      </c>
      <c r="J184" s="371">
        <f t="shared" si="27"/>
        <v>13647.5</v>
      </c>
      <c r="K184" s="88">
        <f t="shared" si="24"/>
        <v>40</v>
      </c>
      <c r="L184" s="204">
        <f>L132+L140+L151+L152+L153+L156+L157+L158+L162+L168+L174+L179+L183</f>
        <v>0</v>
      </c>
      <c r="M184" s="88">
        <f t="shared" si="25"/>
        <v>-100</v>
      </c>
      <c r="N184" s="89">
        <f>L184-J184</f>
        <v>-13647.5</v>
      </c>
      <c r="O184" s="87"/>
      <c r="P184" s="265">
        <f>P132+P140+P151+P152+P153+P156+P157+P158+P162+P168+P174+P179+P183</f>
        <v>10347.8</v>
      </c>
      <c r="Q184" s="207">
        <f t="shared" si="23"/>
        <v>6.2</v>
      </c>
      <c r="R184" s="265">
        <f>R132+R140+R151+R152+R153+R156+R157+R158+R162+R168+R174+R179+R183</f>
        <v>10937.3</v>
      </c>
      <c r="S184" s="206">
        <f t="shared" si="20"/>
        <v>5.7</v>
      </c>
      <c r="T184" s="206">
        <f t="shared" si="26"/>
        <v>12.2</v>
      </c>
      <c r="U184" s="207">
        <f t="shared" si="18"/>
        <v>-2710.2</v>
      </c>
      <c r="V184" s="87">
        <f t="shared" si="19"/>
        <v>97.4</v>
      </c>
      <c r="W184" s="266"/>
      <c r="X184" s="13"/>
    </row>
    <row r="185" spans="1:24" ht="18.75" customHeight="1">
      <c r="A185" s="54">
        <v>24</v>
      </c>
      <c r="B185" s="50" t="s">
        <v>17</v>
      </c>
      <c r="C185" s="55" t="s">
        <v>18</v>
      </c>
      <c r="D185" s="283">
        <f aca="true" t="shared" si="28" ref="D185:J185">D184/(D24+1E-100)*1000</f>
        <v>0</v>
      </c>
      <c r="E185" s="283">
        <f t="shared" si="28"/>
        <v>0</v>
      </c>
      <c r="F185" s="284">
        <f t="shared" si="28"/>
        <v>876.69</v>
      </c>
      <c r="G185" s="284">
        <v>1094.1</v>
      </c>
      <c r="H185" s="284">
        <f t="shared" si="28"/>
        <v>872.97</v>
      </c>
      <c r="I185" s="284">
        <f t="shared" si="28"/>
        <v>1094.1</v>
      </c>
      <c r="J185" s="284">
        <f t="shared" si="28"/>
        <v>1222.21</v>
      </c>
      <c r="K185" s="116">
        <f t="shared" si="24"/>
        <v>40</v>
      </c>
      <c r="L185" s="285" t="e">
        <f>L184/(L24+1E-100)*1000</f>
        <v>#REF!</v>
      </c>
      <c r="M185" s="116" t="e">
        <f t="shared" si="25"/>
        <v>#REF!</v>
      </c>
      <c r="N185" s="117" t="e">
        <f>L185-J185</f>
        <v>#REF!</v>
      </c>
      <c r="O185" s="118"/>
      <c r="P185" s="284">
        <f>P184/(P24+1E-100)*1000</f>
        <v>926.7</v>
      </c>
      <c r="Q185" s="286">
        <f t="shared" si="23"/>
        <v>6.15</v>
      </c>
      <c r="R185" s="284">
        <f>R184/(R24+1E-100)*1000</f>
        <v>979.49</v>
      </c>
      <c r="S185" s="287">
        <f t="shared" si="20"/>
        <v>5.7</v>
      </c>
      <c r="T185" s="287">
        <f t="shared" si="26"/>
        <v>12.2</v>
      </c>
      <c r="U185" s="288">
        <f t="shared" si="18"/>
        <v>-242.7</v>
      </c>
      <c r="V185" s="118">
        <f t="shared" si="19"/>
        <v>8.7</v>
      </c>
      <c r="W185" s="289"/>
      <c r="X185" s="12"/>
    </row>
    <row r="186" spans="1:24" ht="12.75" customHeight="1">
      <c r="A186" s="1"/>
      <c r="B186" s="40" t="s">
        <v>19</v>
      </c>
      <c r="C186" s="44" t="s">
        <v>5</v>
      </c>
      <c r="D186" s="290">
        <f>D187/(D184+1E-95)*100</f>
        <v>0</v>
      </c>
      <c r="E186" s="291">
        <f>E187/(E184+1E-95)*100</f>
        <v>0</v>
      </c>
      <c r="F186" s="293">
        <f>F187/(F184+1E-95)*100</f>
        <v>1.85</v>
      </c>
      <c r="G186" s="378">
        <v>1.76</v>
      </c>
      <c r="H186" s="293">
        <f>H187/(H184+1E-95)*100</f>
        <v>2.21</v>
      </c>
      <c r="I186" s="293">
        <v>1.76</v>
      </c>
      <c r="J186" s="377">
        <v>1.82</v>
      </c>
      <c r="K186" s="90">
        <f t="shared" si="24"/>
        <v>-17.6</v>
      </c>
      <c r="L186" s="292">
        <f>L187/(L184+1E-95)*100</f>
        <v>0</v>
      </c>
      <c r="M186" s="90">
        <f t="shared" si="25"/>
        <v>-100</v>
      </c>
      <c r="N186" s="91"/>
      <c r="O186" s="106"/>
      <c r="P186" s="293">
        <f>P187/(P184+1E-95)*100</f>
        <v>2.08</v>
      </c>
      <c r="Q186" s="276">
        <f t="shared" si="23"/>
        <v>-5.88</v>
      </c>
      <c r="R186" s="293">
        <f>R187/(R184+1E-95)*100</f>
        <v>1.97</v>
      </c>
      <c r="S186" s="212">
        <f t="shared" si="20"/>
        <v>-5.3</v>
      </c>
      <c r="T186" s="212">
        <f t="shared" si="26"/>
        <v>-10.9</v>
      </c>
      <c r="U186" s="211">
        <f t="shared" si="18"/>
        <v>0.2</v>
      </c>
      <c r="V186" s="106">
        <f t="shared" si="19"/>
        <v>0</v>
      </c>
      <c r="W186" s="160"/>
      <c r="X186" s="12"/>
    </row>
    <row r="187" spans="1:24" ht="12.75" customHeight="1">
      <c r="A187" s="51">
        <v>25</v>
      </c>
      <c r="B187" s="40" t="s">
        <v>57</v>
      </c>
      <c r="C187" s="44" t="s">
        <v>63</v>
      </c>
      <c r="D187" s="292">
        <f>D188+D189+D190+D191+D193</f>
        <v>0</v>
      </c>
      <c r="E187" s="294">
        <f>IF((E184+E196+E197+E188)&gt;(C206*D206+C211*D211+C214*D214+C215*D215+C216*D216)/1000+E201,0,(C206*D206+C211*D211+C214*D214+C215*D215+C216*D216)/1000+E201-E184-E196-E197)</f>
        <v>0</v>
      </c>
      <c r="F187" s="361">
        <v>2759.89</v>
      </c>
      <c r="G187" s="294">
        <v>215.6</v>
      </c>
      <c r="H187" s="293">
        <f>H188+H189+H190+H191+H193</f>
        <v>215.6</v>
      </c>
      <c r="I187" s="293">
        <f>I188+I189+I190+I191+I193</f>
        <v>215.6</v>
      </c>
      <c r="J187" s="378">
        <f>J188+J189+J190+J191+J193</f>
        <v>215.6</v>
      </c>
      <c r="K187" s="90">
        <f t="shared" si="24"/>
        <v>0</v>
      </c>
      <c r="L187" s="292">
        <f>L188+L189+L190+L191+L193</f>
        <v>0</v>
      </c>
      <c r="M187" s="90">
        <f t="shared" si="25"/>
        <v>-100</v>
      </c>
      <c r="N187" s="91">
        <f>L187-J187</f>
        <v>-215.6</v>
      </c>
      <c r="O187" s="106">
        <f>L187/($L$198+1E-103)*100</f>
        <v>0</v>
      </c>
      <c r="P187" s="293">
        <f>P188+P189+P190+P191+P193</f>
        <v>215.6</v>
      </c>
      <c r="Q187" s="276">
        <f t="shared" si="23"/>
        <v>0</v>
      </c>
      <c r="R187" s="293">
        <f>R188+R189+R190+R191+R193</f>
        <v>215.6</v>
      </c>
      <c r="S187" s="212">
        <f t="shared" si="20"/>
        <v>0</v>
      </c>
      <c r="T187" s="212">
        <f t="shared" si="26"/>
        <v>0</v>
      </c>
      <c r="U187" s="211">
        <f t="shared" si="18"/>
        <v>0</v>
      </c>
      <c r="V187" s="106">
        <f t="shared" si="19"/>
        <v>1.9</v>
      </c>
      <c r="W187" s="160"/>
      <c r="X187" s="12"/>
    </row>
    <row r="188" spans="1:24" ht="38.25" customHeight="1">
      <c r="A188" s="14" t="s">
        <v>62</v>
      </c>
      <c r="B188" s="477" t="s">
        <v>137</v>
      </c>
      <c r="C188" s="477"/>
      <c r="D188" s="295"/>
      <c r="E188" s="272"/>
      <c r="F188" s="295"/>
      <c r="G188" s="389"/>
      <c r="H188" s="98"/>
      <c r="I188" s="98"/>
      <c r="J188" s="365"/>
      <c r="K188" s="90"/>
      <c r="L188" s="213"/>
      <c r="M188" s="90"/>
      <c r="N188" s="91"/>
      <c r="O188" s="106"/>
      <c r="P188" s="293"/>
      <c r="Q188" s="276"/>
      <c r="R188" s="293"/>
      <c r="S188" s="212"/>
      <c r="T188" s="212"/>
      <c r="U188" s="211"/>
      <c r="V188" s="106"/>
      <c r="W188" s="160"/>
      <c r="X188" s="12"/>
    </row>
    <row r="189" spans="1:24" ht="12.75">
      <c r="A189" s="14" t="s">
        <v>62</v>
      </c>
      <c r="B189" s="460" t="s">
        <v>58</v>
      </c>
      <c r="C189" s="460"/>
      <c r="D189" s="296"/>
      <c r="E189" s="272"/>
      <c r="F189" s="295"/>
      <c r="G189" s="389"/>
      <c r="H189" s="98"/>
      <c r="I189" s="98"/>
      <c r="J189" s="365"/>
      <c r="K189" s="90"/>
      <c r="L189" s="213"/>
      <c r="M189" s="90"/>
      <c r="N189" s="91"/>
      <c r="O189" s="106"/>
      <c r="P189" s="293"/>
      <c r="Q189" s="276"/>
      <c r="R189" s="293"/>
      <c r="S189" s="212"/>
      <c r="T189" s="212"/>
      <c r="U189" s="211"/>
      <c r="V189" s="106"/>
      <c r="W189" s="160"/>
      <c r="X189" s="12"/>
    </row>
    <row r="190" spans="1:24" ht="12.75">
      <c r="A190" s="14" t="s">
        <v>62</v>
      </c>
      <c r="B190" s="460" t="s">
        <v>59</v>
      </c>
      <c r="C190" s="460"/>
      <c r="D190" s="296"/>
      <c r="E190" s="272"/>
      <c r="F190" s="295"/>
      <c r="G190" s="389"/>
      <c r="H190" s="98"/>
      <c r="I190" s="98"/>
      <c r="J190" s="365"/>
      <c r="K190" s="90"/>
      <c r="L190" s="213"/>
      <c r="M190" s="90"/>
      <c r="N190" s="91"/>
      <c r="O190" s="106"/>
      <c r="P190" s="293"/>
      <c r="Q190" s="276"/>
      <c r="R190" s="293"/>
      <c r="S190" s="212"/>
      <c r="T190" s="212"/>
      <c r="U190" s="211"/>
      <c r="V190" s="106"/>
      <c r="W190" s="160"/>
      <c r="X190" s="12"/>
    </row>
    <row r="191" spans="1:24" ht="12.75">
      <c r="A191" s="14" t="s">
        <v>62</v>
      </c>
      <c r="B191" s="460" t="s">
        <v>139</v>
      </c>
      <c r="C191" s="460"/>
      <c r="D191" s="296"/>
      <c r="E191" s="291">
        <f>IF(E187=0,0,E187-E188-E189-E190-E193)</f>
        <v>0</v>
      </c>
      <c r="F191" s="292">
        <v>2759.89</v>
      </c>
      <c r="G191" s="391">
        <v>215.6</v>
      </c>
      <c r="H191" s="98">
        <f>I191</f>
        <v>215.6</v>
      </c>
      <c r="I191" s="98">
        <v>215.6</v>
      </c>
      <c r="J191" s="365">
        <f>H191</f>
        <v>215.6</v>
      </c>
      <c r="K191" s="90">
        <f>J191/(H191+1E-133)*100-100</f>
        <v>0</v>
      </c>
      <c r="L191" s="213"/>
      <c r="M191" s="90"/>
      <c r="N191" s="91"/>
      <c r="O191" s="106"/>
      <c r="P191" s="293">
        <f>H191</f>
        <v>215.6</v>
      </c>
      <c r="Q191" s="276">
        <f>P191/(H191+1E-106)*100-100</f>
        <v>0</v>
      </c>
      <c r="R191" s="293">
        <f>H191</f>
        <v>215.6</v>
      </c>
      <c r="S191" s="212">
        <f>R191/(P191+1E-106)*100-100</f>
        <v>0</v>
      </c>
      <c r="T191" s="212">
        <f>R191/(H191+1E-106)*100-100</f>
        <v>0</v>
      </c>
      <c r="U191" s="211">
        <f>R191-J191</f>
        <v>0</v>
      </c>
      <c r="V191" s="106">
        <f>R191/($R$198+1E-103)*100</f>
        <v>1.9</v>
      </c>
      <c r="W191" s="160"/>
      <c r="X191" s="12"/>
    </row>
    <row r="192" spans="1:24" ht="12.75">
      <c r="A192" s="14"/>
      <c r="B192" s="470" t="s">
        <v>138</v>
      </c>
      <c r="C192" s="470"/>
      <c r="D192" s="297"/>
      <c r="E192" s="291"/>
      <c r="F192" s="292"/>
      <c r="G192" s="391"/>
      <c r="H192" s="98"/>
      <c r="I192" s="98"/>
      <c r="J192" s="365"/>
      <c r="K192" s="90"/>
      <c r="L192" s="213"/>
      <c r="M192" s="90"/>
      <c r="N192" s="91"/>
      <c r="O192" s="106"/>
      <c r="P192" s="293"/>
      <c r="Q192" s="276"/>
      <c r="R192" s="293"/>
      <c r="S192" s="212"/>
      <c r="T192" s="212"/>
      <c r="U192" s="211"/>
      <c r="V192" s="106"/>
      <c r="W192" s="160"/>
      <c r="X192" s="12"/>
    </row>
    <row r="193" spans="1:24" ht="12.75">
      <c r="A193" s="1" t="s">
        <v>62</v>
      </c>
      <c r="B193" s="45" t="s">
        <v>61</v>
      </c>
      <c r="C193" s="44"/>
      <c r="D193" s="298"/>
      <c r="E193" s="272"/>
      <c r="F193" s="295"/>
      <c r="G193" s="389"/>
      <c r="H193" s="98"/>
      <c r="I193" s="98"/>
      <c r="J193" s="365"/>
      <c r="K193" s="90"/>
      <c r="L193" s="213"/>
      <c r="M193" s="90"/>
      <c r="N193" s="91"/>
      <c r="O193" s="106"/>
      <c r="P193" s="293"/>
      <c r="Q193" s="276"/>
      <c r="R193" s="293"/>
      <c r="S193" s="212"/>
      <c r="T193" s="212"/>
      <c r="U193" s="211"/>
      <c r="V193" s="106"/>
      <c r="W193" s="160"/>
      <c r="X193" s="12"/>
    </row>
    <row r="194" spans="1:24" ht="12.75">
      <c r="A194" s="1"/>
      <c r="B194" s="47" t="s">
        <v>60</v>
      </c>
      <c r="C194" s="46"/>
      <c r="D194" s="298"/>
      <c r="E194" s="272"/>
      <c r="F194" s="295"/>
      <c r="G194" s="389"/>
      <c r="H194" s="98"/>
      <c r="I194" s="98"/>
      <c r="J194" s="365"/>
      <c r="K194" s="90"/>
      <c r="L194" s="213"/>
      <c r="M194" s="90"/>
      <c r="N194" s="91"/>
      <c r="O194" s="106"/>
      <c r="P194" s="293"/>
      <c r="Q194" s="276"/>
      <c r="R194" s="293"/>
      <c r="S194" s="212"/>
      <c r="T194" s="212"/>
      <c r="U194" s="211"/>
      <c r="V194" s="106"/>
      <c r="W194" s="160"/>
      <c r="X194" s="12"/>
    </row>
    <row r="195" spans="1:24" ht="13.5">
      <c r="A195" s="1"/>
      <c r="B195" s="70" t="s">
        <v>135</v>
      </c>
      <c r="C195" s="44" t="s">
        <v>63</v>
      </c>
      <c r="D195" s="298"/>
      <c r="E195" s="299">
        <f>IF((E184+E196+E197+E188)&gt;(C206*D206+C211*D211+C214*D214+C215*D215+C216*D216)/1000+E201,(C206*D206+C211*D211+C214*D214+C215*D215+C216*D216)/1000+E201-E184-E196-E197-E188,0)</f>
        <v>0</v>
      </c>
      <c r="F195" s="362"/>
      <c r="G195" s="299"/>
      <c r="H195" s="98"/>
      <c r="I195" s="98"/>
      <c r="J195" s="365"/>
      <c r="K195" s="90"/>
      <c r="L195" s="213"/>
      <c r="M195" s="90"/>
      <c r="N195" s="91"/>
      <c r="O195" s="106"/>
      <c r="P195" s="293"/>
      <c r="Q195" s="276"/>
      <c r="R195" s="293"/>
      <c r="S195" s="212"/>
      <c r="T195" s="212"/>
      <c r="U195" s="211"/>
      <c r="V195" s="106"/>
      <c r="W195" s="160"/>
      <c r="X195" s="12"/>
    </row>
    <row r="196" spans="1:24" ht="15.75">
      <c r="A196" s="51">
        <v>26</v>
      </c>
      <c r="B196" s="40" t="s">
        <v>36</v>
      </c>
      <c r="C196" s="44" t="s">
        <v>63</v>
      </c>
      <c r="D196" s="271"/>
      <c r="E196" s="272"/>
      <c r="F196" s="295">
        <v>918.99</v>
      </c>
      <c r="G196" s="389">
        <v>67.8</v>
      </c>
      <c r="H196" s="98">
        <v>67.8</v>
      </c>
      <c r="I196" s="98">
        <v>67.8</v>
      </c>
      <c r="J196" s="365">
        <f>H196</f>
        <v>67.8</v>
      </c>
      <c r="K196" s="90">
        <f>J196/(H196+1E-133)*100-100</f>
        <v>0</v>
      </c>
      <c r="L196" s="213"/>
      <c r="M196" s="90"/>
      <c r="N196" s="91"/>
      <c r="O196" s="106"/>
      <c r="P196" s="293">
        <f>H196</f>
        <v>67.8</v>
      </c>
      <c r="Q196" s="276">
        <f>P196/(H196+1E-106)*100-100</f>
        <v>0</v>
      </c>
      <c r="R196" s="293">
        <f>H196*1.051</f>
        <v>71.26</v>
      </c>
      <c r="S196" s="212">
        <f>R196/(P196+1E-106)*100-100</f>
        <v>5.1</v>
      </c>
      <c r="T196" s="212">
        <f>R196/(H196+1E-106)*100-100</f>
        <v>5.1</v>
      </c>
      <c r="U196" s="211">
        <f>R196-J196</f>
        <v>3.5</v>
      </c>
      <c r="V196" s="106">
        <f>R196/($R$198+1E-103)*100</f>
        <v>0.6</v>
      </c>
      <c r="W196" s="166"/>
      <c r="X196" s="12"/>
    </row>
    <row r="197" spans="1:24" ht="15.75">
      <c r="A197" s="51">
        <v>27</v>
      </c>
      <c r="B197" s="40" t="s">
        <v>37</v>
      </c>
      <c r="C197" s="44" t="s">
        <v>63</v>
      </c>
      <c r="D197" s="271"/>
      <c r="E197" s="272"/>
      <c r="F197" s="295"/>
      <c r="G197" s="389"/>
      <c r="H197" s="98"/>
      <c r="I197" s="98"/>
      <c r="J197" s="365"/>
      <c r="K197" s="90"/>
      <c r="L197" s="213"/>
      <c r="M197" s="90"/>
      <c r="N197" s="91"/>
      <c r="O197" s="106"/>
      <c r="P197" s="293"/>
      <c r="Q197" s="276"/>
      <c r="R197" s="293"/>
      <c r="S197" s="212"/>
      <c r="T197" s="212"/>
      <c r="U197" s="211"/>
      <c r="V197" s="106"/>
      <c r="W197" s="167"/>
      <c r="X197" s="12"/>
    </row>
    <row r="198" spans="1:23" ht="47.25">
      <c r="A198" s="51">
        <v>28</v>
      </c>
      <c r="B198" s="39" t="s">
        <v>111</v>
      </c>
      <c r="C198" s="53" t="s">
        <v>63</v>
      </c>
      <c r="D198" s="300">
        <f>D184+D187+D196+D197</f>
        <v>0</v>
      </c>
      <c r="E198" s="274">
        <f>IF(E187=0,E184+E188+E196+E197+E195,E184+E187+E196+E197+E195)</f>
        <v>0</v>
      </c>
      <c r="F198" s="301">
        <f>F184+F187+F196+F197</f>
        <v>152539.68</v>
      </c>
      <c r="G198" s="379">
        <v>12500.4</v>
      </c>
      <c r="H198" s="301">
        <f>H184+H187+H196+H197</f>
        <v>10031.2</v>
      </c>
      <c r="I198" s="301">
        <f>I184+I187+I196+I197</f>
        <v>12500.4</v>
      </c>
      <c r="J198" s="379">
        <f>J184+J187+J196+J197</f>
        <v>13930.9</v>
      </c>
      <c r="K198" s="88">
        <f>J198/(H198+1E-133)*100-100</f>
        <v>38.9</v>
      </c>
      <c r="L198" s="273">
        <f>L184+L187+L196+L197</f>
        <v>0</v>
      </c>
      <c r="M198" s="88">
        <f>L198/(H198+1E-106)*100-100</f>
        <v>-100</v>
      </c>
      <c r="N198" s="89">
        <f>L198-J198</f>
        <v>-13930.9</v>
      </c>
      <c r="O198" s="87">
        <f>O132+O140+O151+O152+O153+O156+O157+O158+O162+O168+O174+O179+O183+O187+O196+O197</f>
        <v>0</v>
      </c>
      <c r="P198" s="301">
        <f>P184+P187+P196+P197</f>
        <v>10631.2</v>
      </c>
      <c r="Q198" s="264">
        <f>P198/(H198+1E-106)*100-100</f>
        <v>5.98</v>
      </c>
      <c r="R198" s="301">
        <f>R184+R187+R196+R197</f>
        <v>11224.16</v>
      </c>
      <c r="S198" s="205">
        <f t="shared" si="20"/>
        <v>5.58</v>
      </c>
      <c r="T198" s="205">
        <f>R198/(H198+1E-106)*100-100</f>
        <v>11.89</v>
      </c>
      <c r="U198" s="205">
        <f>R198-J198</f>
        <v>-2706.74</v>
      </c>
      <c r="V198" s="87">
        <f>R198/($R$198+1E-103)*100</f>
        <v>100</v>
      </c>
      <c r="W198" s="165" t="s">
        <v>134</v>
      </c>
    </row>
    <row r="199" spans="1:23" ht="22.5" customHeight="1">
      <c r="A199" s="54">
        <v>29</v>
      </c>
      <c r="B199" s="50" t="s">
        <v>20</v>
      </c>
      <c r="C199" s="55" t="s">
        <v>18</v>
      </c>
      <c r="D199" s="283">
        <f aca="true" t="shared" si="29" ref="D199:J199">D198/(D24+1E-99)*1000</f>
        <v>0</v>
      </c>
      <c r="E199" s="283">
        <f t="shared" si="29"/>
        <v>0</v>
      </c>
      <c r="F199" s="285">
        <f t="shared" si="29"/>
        <v>898.35</v>
      </c>
      <c r="G199" s="285">
        <v>1119.48</v>
      </c>
      <c r="H199" s="285">
        <f t="shared" si="29"/>
        <v>898.35</v>
      </c>
      <c r="I199" s="285">
        <f t="shared" si="29"/>
        <v>1119.48</v>
      </c>
      <c r="J199" s="285">
        <f t="shared" si="29"/>
        <v>1247.59</v>
      </c>
      <c r="K199" s="116">
        <f>J199/(H199+1E-133)*100-100</f>
        <v>38.9</v>
      </c>
      <c r="L199" s="302" t="e">
        <f>IF(L24=#REF!,L198/(L24+1E-101)*1000,"Ошибка")</f>
        <v>#REF!</v>
      </c>
      <c r="M199" s="116" t="e">
        <f>L199/(H199+1E-106)*100-100</f>
        <v>#REF!</v>
      </c>
      <c r="N199" s="117" t="e">
        <f>L199-J199</f>
        <v>#REF!</v>
      </c>
      <c r="O199" s="118"/>
      <c r="P199" s="285">
        <f>P198/(P24+1E-99)*1000</f>
        <v>952.08</v>
      </c>
      <c r="Q199" s="303">
        <f>P199/(H199+1E-106)*100-100</f>
        <v>6</v>
      </c>
      <c r="R199" s="285">
        <f>R198/(R24+1E-99)*1000</f>
        <v>1005.18</v>
      </c>
      <c r="S199" s="287">
        <f t="shared" si="20"/>
        <v>5.6</v>
      </c>
      <c r="T199" s="287">
        <f>R199/(H199+1E-106)*100-100</f>
        <v>11.9</v>
      </c>
      <c r="U199" s="288">
        <f>R199-J199</f>
        <v>-242.4</v>
      </c>
      <c r="V199" s="286"/>
      <c r="W199" s="304"/>
    </row>
    <row r="200" spans="1:33" ht="38.25" customHeight="1">
      <c r="A200" s="63"/>
      <c r="B200" s="473"/>
      <c r="C200" s="473"/>
      <c r="D200" s="473"/>
      <c r="E200" s="473"/>
      <c r="F200" s="473"/>
      <c r="G200" s="473"/>
      <c r="H200" s="473"/>
      <c r="I200" s="473"/>
      <c r="J200" s="473"/>
      <c r="K200" s="473"/>
      <c r="L200" s="473"/>
      <c r="M200" s="473"/>
      <c r="N200" s="473"/>
      <c r="O200" s="473"/>
      <c r="P200" s="473"/>
      <c r="Q200" s="473"/>
      <c r="R200" s="473"/>
      <c r="S200" s="473"/>
      <c r="T200" s="473"/>
      <c r="U200" s="473"/>
      <c r="V200" s="473"/>
      <c r="W200" s="47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</row>
    <row r="201" spans="1:33" ht="39.75" customHeight="1" hidden="1">
      <c r="A201" s="456" t="s">
        <v>155</v>
      </c>
      <c r="B201" s="456"/>
      <c r="C201" s="53" t="s">
        <v>63</v>
      </c>
      <c r="D201" s="125"/>
      <c r="E201" s="141"/>
      <c r="F201" s="141"/>
      <c r="G201" s="141"/>
      <c r="H201" s="122">
        <f>IF((E206*J206+E211*J211+E214*J214+E215*J215+E216*J216)/1000=0,0,H198-(E206*J206+E211*J211+E214*J214+E215*J215+E216*J216)/1000)</f>
        <v>0</v>
      </c>
      <c r="I201" s="122"/>
      <c r="J201" s="380" t="s">
        <v>143</v>
      </c>
      <c r="K201" s="143" t="s">
        <v>143</v>
      </c>
      <c r="L201" s="140">
        <f>IF(O217=0,0,L198-O217)</f>
        <v>0</v>
      </c>
      <c r="M201" s="143" t="s">
        <v>143</v>
      </c>
      <c r="N201" s="143" t="s">
        <v>143</v>
      </c>
      <c r="O201" s="143" t="s">
        <v>143</v>
      </c>
      <c r="P201" s="439"/>
      <c r="Q201" s="439"/>
      <c r="R201" s="439"/>
      <c r="S201" s="440"/>
      <c r="T201" s="439"/>
      <c r="U201" s="439"/>
      <c r="V201" s="439"/>
      <c r="W201" s="61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spans="1:33" s="7" customFormat="1" ht="19.5" customHeight="1">
      <c r="A202" s="469" t="s">
        <v>211</v>
      </c>
      <c r="B202" s="469"/>
      <c r="C202" s="469"/>
      <c r="D202" s="469"/>
      <c r="E202" s="469"/>
      <c r="F202" s="469"/>
      <c r="G202" s="469"/>
      <c r="H202" s="469"/>
      <c r="I202" s="469"/>
      <c r="J202" s="469"/>
      <c r="K202" s="469"/>
      <c r="L202" s="469"/>
      <c r="M202" s="469"/>
      <c r="N202" s="469"/>
      <c r="O202" s="469"/>
      <c r="P202" s="469"/>
      <c r="Q202" s="469"/>
      <c r="R202" s="469"/>
      <c r="S202" s="469"/>
      <c r="T202" s="469"/>
      <c r="U202" s="469"/>
      <c r="V202" s="469"/>
      <c r="W202" s="469"/>
      <c r="X202" s="441"/>
      <c r="Y202" s="441"/>
      <c r="Z202" s="441"/>
      <c r="AA202" s="441"/>
      <c r="AB202" s="441"/>
      <c r="AC202" s="441"/>
      <c r="AD202" s="441"/>
      <c r="AE202" s="441"/>
      <c r="AF202" s="441"/>
      <c r="AG202" s="441"/>
    </row>
    <row r="203" spans="1:33" s="7" customFormat="1" ht="19.5" customHeight="1">
      <c r="A203" s="472"/>
      <c r="B203" s="471" t="s">
        <v>21</v>
      </c>
      <c r="C203" s="471" t="s">
        <v>212</v>
      </c>
      <c r="D203" s="471" t="s">
        <v>213</v>
      </c>
      <c r="E203" s="471" t="s">
        <v>214</v>
      </c>
      <c r="F203" s="457" t="s">
        <v>240</v>
      </c>
      <c r="G203" s="125"/>
      <c r="H203" s="471" t="s">
        <v>175</v>
      </c>
      <c r="I203" s="125"/>
      <c r="J203" s="496" t="s">
        <v>215</v>
      </c>
      <c r="K203" s="459" t="s">
        <v>216</v>
      </c>
      <c r="L203" s="516" t="s">
        <v>217</v>
      </c>
      <c r="M203" s="517"/>
      <c r="N203" s="517"/>
      <c r="O203" s="518"/>
      <c r="P203" s="496" t="s">
        <v>218</v>
      </c>
      <c r="Q203" s="496"/>
      <c r="R203" s="496"/>
      <c r="S203" s="496"/>
      <c r="T203" s="496"/>
      <c r="U203" s="457" t="s">
        <v>219</v>
      </c>
      <c r="V203" s="457" t="s">
        <v>106</v>
      </c>
      <c r="W203" s="457" t="s">
        <v>220</v>
      </c>
      <c r="X203" s="305"/>
      <c r="Y203" s="306"/>
      <c r="Z203" s="306"/>
      <c r="AA203" s="307"/>
      <c r="AB203" s="441"/>
      <c r="AC203" s="441"/>
      <c r="AD203" s="441"/>
      <c r="AE203" s="441"/>
      <c r="AF203" s="441"/>
      <c r="AG203" s="441"/>
    </row>
    <row r="204" spans="1:33" s="7" customFormat="1" ht="45" customHeight="1">
      <c r="A204" s="472"/>
      <c r="B204" s="471"/>
      <c r="C204" s="471"/>
      <c r="D204" s="471"/>
      <c r="E204" s="471"/>
      <c r="F204" s="457"/>
      <c r="G204" s="125"/>
      <c r="H204" s="471"/>
      <c r="I204" s="125"/>
      <c r="J204" s="496"/>
      <c r="K204" s="459"/>
      <c r="L204" s="519"/>
      <c r="M204" s="520"/>
      <c r="N204" s="520"/>
      <c r="O204" s="521"/>
      <c r="P204" s="308" t="s">
        <v>221</v>
      </c>
      <c r="Q204" s="57" t="s">
        <v>105</v>
      </c>
      <c r="R204" s="308" t="s">
        <v>222</v>
      </c>
      <c r="S204" s="57" t="s">
        <v>223</v>
      </c>
      <c r="T204" s="57" t="s">
        <v>205</v>
      </c>
      <c r="U204" s="457"/>
      <c r="V204" s="457"/>
      <c r="W204" s="457"/>
      <c r="X204" s="305"/>
      <c r="Y204" s="306"/>
      <c r="Z204" s="306"/>
      <c r="AA204" s="307"/>
      <c r="AB204" s="441"/>
      <c r="AC204" s="441"/>
      <c r="AD204" s="441"/>
      <c r="AE204" s="441"/>
      <c r="AF204" s="441"/>
      <c r="AG204" s="441"/>
    </row>
    <row r="205" spans="1:33" s="201" customFormat="1" ht="11.25" customHeight="1">
      <c r="A205" s="2">
        <v>1</v>
      </c>
      <c r="B205" s="69">
        <v>2</v>
      </c>
      <c r="C205" s="69">
        <v>3</v>
      </c>
      <c r="D205" s="69">
        <v>4</v>
      </c>
      <c r="E205" s="10">
        <v>5</v>
      </c>
      <c r="F205" s="10"/>
      <c r="G205" s="10"/>
      <c r="H205" s="10">
        <v>4</v>
      </c>
      <c r="I205" s="10"/>
      <c r="J205" s="11">
        <v>5</v>
      </c>
      <c r="K205" s="10">
        <v>6</v>
      </c>
      <c r="L205" s="531">
        <v>7</v>
      </c>
      <c r="M205" s="532"/>
      <c r="N205" s="532"/>
      <c r="O205" s="533"/>
      <c r="P205" s="199">
        <v>7</v>
      </c>
      <c r="Q205" s="199">
        <v>8</v>
      </c>
      <c r="R205" s="395">
        <v>9</v>
      </c>
      <c r="S205" s="200">
        <v>10</v>
      </c>
      <c r="T205" s="199">
        <v>11</v>
      </c>
      <c r="U205" s="2">
        <v>12</v>
      </c>
      <c r="V205" s="2">
        <v>13</v>
      </c>
      <c r="W205" s="199">
        <v>14</v>
      </c>
      <c r="X205" s="309"/>
      <c r="Y205" s="309"/>
      <c r="Z205" s="309"/>
      <c r="AA205" s="309"/>
      <c r="AB205" s="309"/>
      <c r="AC205" s="309"/>
      <c r="AD205" s="309"/>
      <c r="AE205" s="309"/>
      <c r="AF205" s="309"/>
      <c r="AG205" s="309"/>
    </row>
    <row r="206" spans="1:23" s="250" customFormat="1" ht="12.75" customHeight="1">
      <c r="A206" s="310">
        <v>1</v>
      </c>
      <c r="B206" s="311" t="s">
        <v>38</v>
      </c>
      <c r="C206" s="141">
        <f>C207+C208+C209</f>
        <v>8884.3</v>
      </c>
      <c r="D206" s="312"/>
      <c r="E206" s="141">
        <f>E207+E208+E209</f>
        <v>0</v>
      </c>
      <c r="F206" s="141">
        <f>H206*J206/1000</f>
        <v>9252.73</v>
      </c>
      <c r="G206" s="141">
        <f>H206*J206/1000</f>
        <v>9252.73</v>
      </c>
      <c r="H206" s="264">
        <v>8864.3</v>
      </c>
      <c r="I206" s="264"/>
      <c r="J206" s="126">
        <v>1043.82</v>
      </c>
      <c r="K206" s="264">
        <f>K209</f>
        <v>8864.3</v>
      </c>
      <c r="L206" s="534"/>
      <c r="M206" s="535"/>
      <c r="N206" s="535"/>
      <c r="O206" s="536"/>
      <c r="P206" s="263">
        <v>952.08</v>
      </c>
      <c r="Q206" s="264">
        <f>P206/(J206+1E-101)*100-100</f>
        <v>-8.79</v>
      </c>
      <c r="R206" s="263">
        <f>R199</f>
        <v>1005.18</v>
      </c>
      <c r="S206" s="264">
        <f>R206/(P206+1E-101)*100-100</f>
        <v>5.58</v>
      </c>
      <c r="T206" s="264">
        <f>R206/(J206+1E-101)*100-100</f>
        <v>-3.7</v>
      </c>
      <c r="U206" s="89"/>
      <c r="V206" s="89"/>
      <c r="W206" s="264">
        <f>R206*K206/1000</f>
        <v>8910.22</v>
      </c>
    </row>
    <row r="207" spans="1:23" s="7" customFormat="1" ht="12.75">
      <c r="A207" s="62"/>
      <c r="B207" s="313" t="s">
        <v>39</v>
      </c>
      <c r="C207" s="77"/>
      <c r="D207" s="127"/>
      <c r="E207" s="77"/>
      <c r="F207" s="141"/>
      <c r="G207" s="77">
        <f aca="true" t="shared" si="30" ref="G207:G215">H207*J207/1000</f>
        <v>0</v>
      </c>
      <c r="H207" s="396"/>
      <c r="I207" s="396"/>
      <c r="J207" s="98"/>
      <c r="K207" s="396"/>
      <c r="L207" s="537"/>
      <c r="M207" s="538"/>
      <c r="N207" s="538"/>
      <c r="O207" s="539"/>
      <c r="P207" s="263"/>
      <c r="Q207" s="276"/>
      <c r="R207" s="260"/>
      <c r="S207" s="276"/>
      <c r="T207" s="276"/>
      <c r="U207" s="91"/>
      <c r="V207" s="89"/>
      <c r="W207" s="264"/>
    </row>
    <row r="208" spans="1:23" s="7" customFormat="1" ht="12.75">
      <c r="A208" s="62"/>
      <c r="B208" s="313" t="s">
        <v>103</v>
      </c>
      <c r="C208" s="77"/>
      <c r="D208" s="127"/>
      <c r="E208" s="77"/>
      <c r="F208" s="141"/>
      <c r="G208" s="77">
        <f t="shared" si="30"/>
        <v>0</v>
      </c>
      <c r="H208" s="396"/>
      <c r="I208" s="396"/>
      <c r="J208" s="98"/>
      <c r="K208" s="396"/>
      <c r="L208" s="537"/>
      <c r="M208" s="538"/>
      <c r="N208" s="538"/>
      <c r="O208" s="539"/>
      <c r="P208" s="263"/>
      <c r="Q208" s="276"/>
      <c r="R208" s="260"/>
      <c r="S208" s="276"/>
      <c r="T208" s="276"/>
      <c r="U208" s="91"/>
      <c r="V208" s="89"/>
      <c r="W208" s="264"/>
    </row>
    <row r="209" spans="1:23" s="7" customFormat="1" ht="12.75">
      <c r="A209" s="62"/>
      <c r="B209" s="314" t="s">
        <v>40</v>
      </c>
      <c r="C209" s="77">
        <v>8884.3</v>
      </c>
      <c r="D209" s="127"/>
      <c r="E209" s="77"/>
      <c r="F209" s="77">
        <f aca="true" t="shared" si="31" ref="F209:F215">H209*J209/1000</f>
        <v>9252.73</v>
      </c>
      <c r="G209" s="77">
        <f t="shared" si="30"/>
        <v>9252.73</v>
      </c>
      <c r="H209" s="396">
        <f>H206</f>
        <v>8864.3</v>
      </c>
      <c r="I209" s="396"/>
      <c r="J209" s="98">
        <f>J206</f>
        <v>1043.82</v>
      </c>
      <c r="K209" s="396">
        <f>H209</f>
        <v>8864.3</v>
      </c>
      <c r="L209" s="537"/>
      <c r="M209" s="538"/>
      <c r="N209" s="538"/>
      <c r="O209" s="539"/>
      <c r="P209" s="260">
        <f>P206</f>
        <v>952.08</v>
      </c>
      <c r="Q209" s="276">
        <f aca="true" t="shared" si="32" ref="Q209:Q215">P209/(J209+1E-101)*100-100</f>
        <v>-8.79</v>
      </c>
      <c r="R209" s="260">
        <f>R206</f>
        <v>1005.18</v>
      </c>
      <c r="S209" s="276">
        <f aca="true" t="shared" si="33" ref="S209:S217">R209/(P209+1E-101)*100-100</f>
        <v>5.58</v>
      </c>
      <c r="T209" s="276">
        <f aca="true" t="shared" si="34" ref="T209:T217">R209/(J209+1E-101)*100-100</f>
        <v>-3.7</v>
      </c>
      <c r="U209" s="91"/>
      <c r="V209" s="89"/>
      <c r="W209" s="264"/>
    </row>
    <row r="210" spans="1:23" s="250" customFormat="1" ht="12.75">
      <c r="A210" s="310">
        <v>2</v>
      </c>
      <c r="B210" s="311" t="s">
        <v>189</v>
      </c>
      <c r="C210" s="141"/>
      <c r="D210" s="312"/>
      <c r="E210" s="141">
        <f>E211+E212+E213</f>
        <v>0</v>
      </c>
      <c r="F210" s="141"/>
      <c r="G210" s="77">
        <f t="shared" si="30"/>
        <v>0</v>
      </c>
      <c r="H210" s="397"/>
      <c r="I210" s="397"/>
      <c r="J210" s="126"/>
      <c r="K210" s="397"/>
      <c r="L210" s="534"/>
      <c r="M210" s="535"/>
      <c r="N210" s="535"/>
      <c r="O210" s="536"/>
      <c r="P210" s="263"/>
      <c r="Q210" s="276"/>
      <c r="R210" s="260"/>
      <c r="S210" s="276"/>
      <c r="T210" s="276"/>
      <c r="U210" s="89"/>
      <c r="V210" s="89"/>
      <c r="W210" s="264"/>
    </row>
    <row r="211" spans="1:23" s="7" customFormat="1" ht="12.75">
      <c r="A211" s="62" t="s">
        <v>190</v>
      </c>
      <c r="B211" s="314" t="s">
        <v>185</v>
      </c>
      <c r="C211" s="141">
        <f>C212+C213</f>
        <v>2893.9</v>
      </c>
      <c r="D211" s="312"/>
      <c r="E211" s="141"/>
      <c r="F211" s="141">
        <f t="shared" si="31"/>
        <v>1931.95</v>
      </c>
      <c r="G211" s="141">
        <f t="shared" si="30"/>
        <v>1931.95</v>
      </c>
      <c r="H211" s="398">
        <f>H212+H213</f>
        <v>2275.69</v>
      </c>
      <c r="I211" s="398"/>
      <c r="J211" s="126">
        <v>848.95</v>
      </c>
      <c r="K211" s="398">
        <f>K212+K213</f>
        <v>2275.69</v>
      </c>
      <c r="L211" s="534"/>
      <c r="M211" s="535"/>
      <c r="N211" s="535"/>
      <c r="O211" s="536"/>
      <c r="P211" s="263">
        <f>P209</f>
        <v>952.08</v>
      </c>
      <c r="Q211" s="264">
        <f t="shared" si="32"/>
        <v>12.15</v>
      </c>
      <c r="R211" s="263">
        <f>R209</f>
        <v>1005.18</v>
      </c>
      <c r="S211" s="264">
        <f t="shared" si="33"/>
        <v>5.58</v>
      </c>
      <c r="T211" s="264">
        <f t="shared" si="34"/>
        <v>18.4</v>
      </c>
      <c r="U211" s="89"/>
      <c r="V211" s="89"/>
      <c r="W211" s="264">
        <f>R211*K211/1000</f>
        <v>2287.48</v>
      </c>
    </row>
    <row r="212" spans="1:23" s="7" customFormat="1" ht="12.75" customHeight="1">
      <c r="A212" s="62"/>
      <c r="B212" s="314" t="s">
        <v>186</v>
      </c>
      <c r="C212" s="77">
        <v>2501.8</v>
      </c>
      <c r="D212" s="127"/>
      <c r="E212" s="77"/>
      <c r="F212" s="77">
        <f t="shared" si="31"/>
        <v>1570.18</v>
      </c>
      <c r="G212" s="77">
        <f t="shared" si="30"/>
        <v>1570.18</v>
      </c>
      <c r="H212" s="396">
        <v>1849.56</v>
      </c>
      <c r="I212" s="396"/>
      <c r="J212" s="98">
        <f>J211</f>
        <v>848.95</v>
      </c>
      <c r="K212" s="396">
        <f>H212</f>
        <v>1849.56</v>
      </c>
      <c r="L212" s="537"/>
      <c r="M212" s="538"/>
      <c r="N212" s="538"/>
      <c r="O212" s="539"/>
      <c r="P212" s="260">
        <f>P211</f>
        <v>952.08</v>
      </c>
      <c r="Q212" s="276">
        <f t="shared" si="32"/>
        <v>12.15</v>
      </c>
      <c r="R212" s="260">
        <f>R211</f>
        <v>1005.18</v>
      </c>
      <c r="S212" s="276">
        <f t="shared" si="33"/>
        <v>5.58</v>
      </c>
      <c r="T212" s="276">
        <f t="shared" si="34"/>
        <v>18.4</v>
      </c>
      <c r="U212" s="91"/>
      <c r="V212" s="89"/>
      <c r="W212" s="264"/>
    </row>
    <row r="213" spans="1:23" s="7" customFormat="1" ht="12.75">
      <c r="A213" s="62"/>
      <c r="B213" s="314" t="s">
        <v>187</v>
      </c>
      <c r="C213" s="77">
        <v>392.1</v>
      </c>
      <c r="D213" s="127"/>
      <c r="E213" s="77"/>
      <c r="F213" s="77">
        <f t="shared" si="31"/>
        <v>361.76</v>
      </c>
      <c r="G213" s="77">
        <f t="shared" si="30"/>
        <v>361.76</v>
      </c>
      <c r="H213" s="396">
        <v>426.13</v>
      </c>
      <c r="I213" s="396"/>
      <c r="J213" s="98">
        <f>J212</f>
        <v>848.95</v>
      </c>
      <c r="K213" s="396">
        <f>H213</f>
        <v>426.13</v>
      </c>
      <c r="L213" s="537"/>
      <c r="M213" s="538"/>
      <c r="N213" s="538"/>
      <c r="O213" s="539"/>
      <c r="P213" s="260">
        <f>P212</f>
        <v>952.08</v>
      </c>
      <c r="Q213" s="276">
        <f t="shared" si="32"/>
        <v>12.15</v>
      </c>
      <c r="R213" s="260">
        <f>R212</f>
        <v>1005.18</v>
      </c>
      <c r="S213" s="276">
        <f t="shared" si="33"/>
        <v>5.58</v>
      </c>
      <c r="T213" s="276">
        <f t="shared" si="34"/>
        <v>18.4</v>
      </c>
      <c r="U213" s="91"/>
      <c r="V213" s="89"/>
      <c r="W213" s="264"/>
    </row>
    <row r="214" spans="1:23" s="7" customFormat="1" ht="15" customHeight="1">
      <c r="A214" s="72" t="s">
        <v>191</v>
      </c>
      <c r="B214" s="314" t="s">
        <v>184</v>
      </c>
      <c r="C214" s="77"/>
      <c r="D214" s="127"/>
      <c r="E214" s="77"/>
      <c r="F214" s="77"/>
      <c r="G214" s="77">
        <f t="shared" si="30"/>
        <v>0</v>
      </c>
      <c r="H214" s="396"/>
      <c r="I214" s="396"/>
      <c r="J214" s="98"/>
      <c r="K214" s="396"/>
      <c r="L214" s="537"/>
      <c r="M214" s="538"/>
      <c r="N214" s="538"/>
      <c r="O214" s="539"/>
      <c r="P214" s="263"/>
      <c r="Q214" s="276"/>
      <c r="R214" s="260"/>
      <c r="S214" s="276"/>
      <c r="T214" s="276"/>
      <c r="U214" s="91"/>
      <c r="V214" s="89"/>
      <c r="W214" s="264"/>
    </row>
    <row r="215" spans="1:23" s="7" customFormat="1" ht="12.75" customHeight="1">
      <c r="A215" s="175" t="s">
        <v>192</v>
      </c>
      <c r="B215" s="314" t="s">
        <v>22</v>
      </c>
      <c r="C215" s="141">
        <v>26.3</v>
      </c>
      <c r="D215" s="312"/>
      <c r="E215" s="141"/>
      <c r="F215" s="141">
        <f t="shared" si="31"/>
        <v>27.45</v>
      </c>
      <c r="G215" s="141">
        <f t="shared" si="30"/>
        <v>27.45</v>
      </c>
      <c r="H215" s="399">
        <f>H217-H206-H211</f>
        <v>26.3</v>
      </c>
      <c r="I215" s="399"/>
      <c r="J215" s="126">
        <f>J206</f>
        <v>1043.82</v>
      </c>
      <c r="K215" s="399">
        <f>H215</f>
        <v>26.3</v>
      </c>
      <c r="L215" s="534"/>
      <c r="M215" s="535"/>
      <c r="N215" s="535"/>
      <c r="O215" s="536"/>
      <c r="P215" s="263">
        <f>P206</f>
        <v>952.08</v>
      </c>
      <c r="Q215" s="264">
        <f t="shared" si="32"/>
        <v>-8.79</v>
      </c>
      <c r="R215" s="263">
        <f>R206</f>
        <v>1005.18</v>
      </c>
      <c r="S215" s="264">
        <f t="shared" si="33"/>
        <v>5.58</v>
      </c>
      <c r="T215" s="264">
        <f t="shared" si="34"/>
        <v>-3.7</v>
      </c>
      <c r="U215" s="89"/>
      <c r="V215" s="89"/>
      <c r="W215" s="264">
        <f>R215*K215/1000</f>
        <v>26.44</v>
      </c>
    </row>
    <row r="216" spans="1:23" s="250" customFormat="1" ht="25.5">
      <c r="A216" s="315">
        <v>3</v>
      </c>
      <c r="B216" s="311" t="s">
        <v>25</v>
      </c>
      <c r="C216" s="141"/>
      <c r="D216" s="312"/>
      <c r="E216" s="141"/>
      <c r="F216" s="141"/>
      <c r="G216" s="141"/>
      <c r="H216" s="400"/>
      <c r="I216" s="400"/>
      <c r="J216" s="126"/>
      <c r="K216" s="400"/>
      <c r="L216" s="534"/>
      <c r="M216" s="535"/>
      <c r="N216" s="535"/>
      <c r="O216" s="536"/>
      <c r="P216" s="263"/>
      <c r="Q216" s="207"/>
      <c r="R216" s="263"/>
      <c r="S216" s="276"/>
      <c r="T216" s="276"/>
      <c r="U216" s="89"/>
      <c r="V216" s="89"/>
      <c r="W216" s="276"/>
    </row>
    <row r="217" spans="1:23" s="7" customFormat="1" ht="15.75" customHeight="1">
      <c r="A217" s="1"/>
      <c r="B217" s="316" t="s">
        <v>41</v>
      </c>
      <c r="C217" s="122">
        <f>C206+C211+C214+C215+C216</f>
        <v>11804.5</v>
      </c>
      <c r="D217" s="122">
        <f>D206+D211+D214+D215+D216</f>
        <v>0</v>
      </c>
      <c r="E217" s="122">
        <f>E206+E211+E214+E215+E216</f>
        <v>0</v>
      </c>
      <c r="F217" s="122">
        <f>F206+F211+F214+F215+F216</f>
        <v>11212.13</v>
      </c>
      <c r="G217" s="317">
        <f>G206+G210+G214+G215+G216</f>
        <v>9280.2</v>
      </c>
      <c r="H217" s="122">
        <f>P24</f>
        <v>11166.29</v>
      </c>
      <c r="I217" s="122"/>
      <c r="J217" s="113">
        <f>H199</f>
        <v>898.35</v>
      </c>
      <c r="K217" s="122">
        <f>K206+K211+K214+K215+K216</f>
        <v>11166.29</v>
      </c>
      <c r="L217" s="511" t="e">
        <f>L199</f>
        <v>#REF!</v>
      </c>
      <c r="M217" s="512"/>
      <c r="N217" s="512"/>
      <c r="O217" s="513"/>
      <c r="P217" s="401">
        <f>P199</f>
        <v>952.08</v>
      </c>
      <c r="Q217" s="207">
        <f>P217/(J217+1E-101)*100-100</f>
        <v>6</v>
      </c>
      <c r="R217" s="401">
        <f>R199</f>
        <v>1005.18</v>
      </c>
      <c r="S217" s="264">
        <f t="shared" si="33"/>
        <v>5.58</v>
      </c>
      <c r="T217" s="264">
        <f t="shared" si="34"/>
        <v>11.89</v>
      </c>
      <c r="U217" s="207">
        <f>V217-V218</f>
        <v>0</v>
      </c>
      <c r="V217" s="122"/>
      <c r="W217" s="122">
        <f>W206+W211+W214+W215+W216</f>
        <v>11224.14</v>
      </c>
    </row>
    <row r="218" spans="1:23" s="7" customFormat="1" ht="15.75" customHeight="1">
      <c r="A218" s="402"/>
      <c r="B218" s="403"/>
      <c r="C218" s="404"/>
      <c r="D218" s="404"/>
      <c r="E218" s="404"/>
      <c r="F218" s="404"/>
      <c r="G218" s="405"/>
      <c r="H218" s="404"/>
      <c r="I218" s="404"/>
      <c r="J218" s="406"/>
      <c r="K218" s="404"/>
      <c r="L218" s="407"/>
      <c r="M218" s="407"/>
      <c r="N218" s="407"/>
      <c r="O218" s="407"/>
      <c r="P218" s="411"/>
      <c r="Q218" s="412"/>
      <c r="R218" s="411"/>
      <c r="S218" s="409"/>
      <c r="T218" s="409"/>
      <c r="U218" s="408"/>
      <c r="V218" s="410"/>
      <c r="W218" s="404"/>
    </row>
    <row r="219" spans="1:23" ht="36.75" customHeight="1">
      <c r="A219" s="514" t="s">
        <v>231</v>
      </c>
      <c r="B219" s="514"/>
      <c r="C219" s="514"/>
      <c r="D219" s="514"/>
      <c r="E219" s="514"/>
      <c r="F219" s="514"/>
      <c r="G219" s="514"/>
      <c r="H219" s="514"/>
      <c r="I219" s="514"/>
      <c r="J219" s="514"/>
      <c r="K219" s="514"/>
      <c r="L219" s="514"/>
      <c r="M219" s="514"/>
      <c r="N219" s="514"/>
      <c r="O219" s="514"/>
      <c r="P219" s="514"/>
      <c r="Q219" s="514"/>
      <c r="R219" s="514"/>
      <c r="S219" s="514"/>
      <c r="T219" s="514"/>
      <c r="U219" s="514"/>
      <c r="V219" s="514"/>
      <c r="W219" s="514"/>
    </row>
    <row r="220" spans="1:23" ht="51.75" customHeight="1">
      <c r="A220" s="515" t="s">
        <v>70</v>
      </c>
      <c r="B220" s="515"/>
      <c r="C220" s="515"/>
      <c r="D220" s="515"/>
      <c r="E220" s="515"/>
      <c r="F220" s="515"/>
      <c r="G220" s="515"/>
      <c r="H220" s="515"/>
      <c r="I220" s="515"/>
      <c r="J220" s="515"/>
      <c r="K220" s="319"/>
      <c r="L220" s="320"/>
      <c r="M220" s="321"/>
      <c r="N220" s="465" t="s">
        <v>115</v>
      </c>
      <c r="O220" s="465"/>
      <c r="P220" s="465"/>
      <c r="Q220" s="465"/>
      <c r="R220" s="465"/>
      <c r="S220" s="465"/>
      <c r="T220" s="465"/>
      <c r="U220" s="465"/>
      <c r="V220" s="465"/>
      <c r="W220" s="465"/>
    </row>
    <row r="221" spans="1:23" ht="9.75" customHeight="1">
      <c r="A221" s="318"/>
      <c r="B221" s="173"/>
      <c r="C221" s="173"/>
      <c r="D221" s="173"/>
      <c r="E221" s="173"/>
      <c r="F221" s="173"/>
      <c r="G221" s="173"/>
      <c r="H221" s="322"/>
      <c r="I221" s="322"/>
      <c r="J221" s="323"/>
      <c r="K221" s="319"/>
      <c r="L221" s="320"/>
      <c r="M221" s="321"/>
      <c r="N221" s="168"/>
      <c r="O221" s="168"/>
      <c r="P221" s="442"/>
      <c r="Q221" s="442"/>
      <c r="R221" s="442"/>
      <c r="S221" s="443"/>
      <c r="T221" s="442"/>
      <c r="U221" s="442"/>
      <c r="V221" s="442"/>
      <c r="W221" s="168"/>
    </row>
    <row r="222" spans="1:23" ht="6.75" customHeight="1" hidden="1">
      <c r="A222" s="326"/>
      <c r="B222" s="326"/>
      <c r="C222" s="173"/>
      <c r="D222" s="173"/>
      <c r="E222" s="173"/>
      <c r="F222" s="173"/>
      <c r="G222" s="173"/>
      <c r="H222" s="320"/>
      <c r="I222" s="320"/>
      <c r="J222" s="327"/>
      <c r="K222" s="328"/>
      <c r="L222" s="320"/>
      <c r="M222" s="321"/>
      <c r="N222" s="329"/>
      <c r="O222" s="329"/>
      <c r="P222" s="324"/>
      <c r="Q222" s="324"/>
      <c r="R222" s="324"/>
      <c r="S222" s="325"/>
      <c r="T222" s="324"/>
      <c r="U222" s="324"/>
      <c r="V222" s="324"/>
      <c r="W222" s="329"/>
    </row>
    <row r="223" spans="1:23" ht="24" customHeight="1">
      <c r="A223" s="515" t="s">
        <v>71</v>
      </c>
      <c r="B223" s="515"/>
      <c r="C223" s="515"/>
      <c r="D223" s="515"/>
      <c r="E223" s="515"/>
      <c r="F223" s="318"/>
      <c r="G223" s="318"/>
      <c r="H223" s="320"/>
      <c r="I223" s="320"/>
      <c r="J223" s="320"/>
      <c r="K223" s="320"/>
      <c r="L223" s="320"/>
      <c r="M223" s="321"/>
      <c r="N223" s="466" t="s">
        <v>116</v>
      </c>
      <c r="O223" s="466"/>
      <c r="P223" s="466"/>
      <c r="Q223" s="466"/>
      <c r="R223" s="466"/>
      <c r="S223" s="466"/>
      <c r="T223" s="466"/>
      <c r="U223" s="466"/>
      <c r="V223" s="466"/>
      <c r="W223" s="466"/>
    </row>
    <row r="224" spans="1:23" ht="18" customHeight="1">
      <c r="A224" s="318"/>
      <c r="B224" s="173"/>
      <c r="C224" s="173"/>
      <c r="D224" s="173"/>
      <c r="E224" s="173"/>
      <c r="F224" s="173"/>
      <c r="G224" s="173"/>
      <c r="H224" s="320"/>
      <c r="I224" s="320"/>
      <c r="J224" s="330"/>
      <c r="K224" s="320"/>
      <c r="L224" s="320"/>
      <c r="M224" s="321"/>
      <c r="N224" s="170"/>
      <c r="O224" s="170"/>
      <c r="P224" s="324"/>
      <c r="Q224" s="324"/>
      <c r="R224" s="324"/>
      <c r="S224" s="325"/>
      <c r="T224" s="324"/>
      <c r="U224" s="324"/>
      <c r="V224" s="324"/>
      <c r="W224" s="170"/>
    </row>
    <row r="225" spans="1:23" ht="15" customHeight="1" hidden="1">
      <c r="A225" s="318"/>
      <c r="B225" s="173"/>
      <c r="C225" s="173"/>
      <c r="D225" s="331"/>
      <c r="E225" s="331"/>
      <c r="F225" s="331"/>
      <c r="G225" s="331"/>
      <c r="H225" s="320"/>
      <c r="I225" s="320"/>
      <c r="J225" s="330"/>
      <c r="K225" s="321"/>
      <c r="L225" s="332"/>
      <c r="M225" s="332"/>
      <c r="N225" s="170"/>
      <c r="O225" s="333"/>
      <c r="P225" s="324"/>
      <c r="Q225" s="324"/>
      <c r="R225" s="324"/>
      <c r="S225" s="325"/>
      <c r="T225" s="324"/>
      <c r="U225" s="324"/>
      <c r="V225" s="324"/>
      <c r="W225" s="333"/>
    </row>
    <row r="226" spans="1:23" ht="15.75" customHeight="1" hidden="1">
      <c r="A226" s="318"/>
      <c r="B226" s="173"/>
      <c r="C226" s="173"/>
      <c r="D226" s="331"/>
      <c r="E226" s="331"/>
      <c r="F226" s="331"/>
      <c r="G226" s="331"/>
      <c r="H226" s="320"/>
      <c r="I226" s="320"/>
      <c r="J226" s="330"/>
      <c r="K226" s="321"/>
      <c r="L226" s="332"/>
      <c r="M226" s="332"/>
      <c r="N226" s="170"/>
      <c r="O226" s="333"/>
      <c r="P226" s="324"/>
      <c r="Q226" s="324"/>
      <c r="R226" s="324"/>
      <c r="S226" s="325"/>
      <c r="T226" s="324"/>
      <c r="U226" s="324"/>
      <c r="V226" s="324"/>
      <c r="W226" s="333"/>
    </row>
    <row r="227" spans="1:23" ht="68.25" customHeight="1">
      <c r="A227" s="515" t="s">
        <v>224</v>
      </c>
      <c r="B227" s="515"/>
      <c r="C227" s="515"/>
      <c r="D227" s="515"/>
      <c r="E227" s="515"/>
      <c r="F227" s="318"/>
      <c r="G227" s="318"/>
      <c r="H227" s="328"/>
      <c r="I227" s="328"/>
      <c r="J227" s="330"/>
      <c r="K227" s="334"/>
      <c r="L227" s="334"/>
      <c r="M227" s="334"/>
      <c r="N227" s="335"/>
      <c r="O227" s="541" t="s">
        <v>225</v>
      </c>
      <c r="P227" s="541"/>
      <c r="Q227" s="541"/>
      <c r="R227" s="541"/>
      <c r="S227" s="541"/>
      <c r="T227" s="541"/>
      <c r="U227" s="541"/>
      <c r="V227" s="541"/>
      <c r="W227" s="541"/>
    </row>
    <row r="228" spans="1:23" ht="22.5" customHeight="1">
      <c r="A228" s="173"/>
      <c r="B228" s="173"/>
      <c r="C228" s="173"/>
      <c r="D228" s="173"/>
      <c r="E228" s="18"/>
      <c r="F228" s="18"/>
      <c r="G228" s="18"/>
      <c r="H228" s="22"/>
      <c r="I228" s="22"/>
      <c r="J228" s="336"/>
      <c r="K228"/>
      <c r="L228"/>
      <c r="M228"/>
      <c r="N228"/>
      <c r="O228"/>
      <c r="W228"/>
    </row>
    <row r="229" spans="1:23" ht="205.5" customHeight="1" hidden="1">
      <c r="A229" s="171"/>
      <c r="B229" s="29"/>
      <c r="C229" s="174"/>
      <c r="D229" s="18"/>
      <c r="E229" s="30"/>
      <c r="F229" s="30"/>
      <c r="G229" s="30"/>
      <c r="H229" s="30"/>
      <c r="I229" s="30"/>
      <c r="J229" s="336"/>
      <c r="K229"/>
      <c r="L229"/>
      <c r="M229"/>
      <c r="N229"/>
      <c r="O229"/>
      <c r="W229"/>
    </row>
    <row r="230" spans="1:23" ht="12.75" hidden="1">
      <c r="A230" s="66"/>
      <c r="B230" s="66"/>
      <c r="C230" s="66"/>
      <c r="D230" s="67"/>
      <c r="E230" s="67"/>
      <c r="F230" s="67"/>
      <c r="G230" s="67"/>
      <c r="H230" s="67"/>
      <c r="I230" s="67"/>
      <c r="J230" s="338"/>
      <c r="K230" s="65"/>
      <c r="L230"/>
      <c r="M230"/>
      <c r="N230"/>
      <c r="O230"/>
      <c r="W230"/>
    </row>
    <row r="231" spans="1:23" ht="12.75" hidden="1">
      <c r="A231" s="65"/>
      <c r="B231" s="66"/>
      <c r="C231" s="66"/>
      <c r="D231" s="66"/>
      <c r="E231" s="66"/>
      <c r="F231" s="66"/>
      <c r="G231" s="66"/>
      <c r="H231" s="67"/>
      <c r="I231" s="67"/>
      <c r="J231" s="338"/>
      <c r="K231" s="67"/>
      <c r="L231" s="67"/>
      <c r="M231" s="65"/>
      <c r="N231"/>
      <c r="O231"/>
      <c r="W231"/>
    </row>
    <row r="232" spans="1:23" ht="321.75" customHeight="1">
      <c r="A232" s="65"/>
      <c r="B232" s="66"/>
      <c r="C232" s="66"/>
      <c r="D232" s="66"/>
      <c r="E232" s="66"/>
      <c r="F232" s="66"/>
      <c r="G232" s="66"/>
      <c r="H232" s="67"/>
      <c r="I232" s="67"/>
      <c r="J232" s="338"/>
      <c r="K232" s="67"/>
      <c r="L232" s="67"/>
      <c r="M232" s="65"/>
      <c r="N232"/>
      <c r="O232"/>
      <c r="W232"/>
    </row>
    <row r="233" spans="1:24" ht="43.5" customHeight="1">
      <c r="A233" s="542" t="s">
        <v>226</v>
      </c>
      <c r="B233" s="542"/>
      <c r="C233" s="542"/>
      <c r="D233" s="542"/>
      <c r="E233" s="542"/>
      <c r="F233" s="542"/>
      <c r="G233" s="542"/>
      <c r="H233" s="542"/>
      <c r="I233" s="542"/>
      <c r="J233" s="542"/>
      <c r="K233" s="542"/>
      <c r="L233" s="542"/>
      <c r="M233" s="542"/>
      <c r="N233" s="542"/>
      <c r="O233" s="542"/>
      <c r="P233" s="542"/>
      <c r="Q233" s="542"/>
      <c r="R233" s="542"/>
      <c r="S233" s="542"/>
      <c r="T233" s="542"/>
      <c r="U233" s="542"/>
      <c r="V233" s="542"/>
      <c r="W233" s="66"/>
      <c r="X233" s="65"/>
    </row>
    <row r="234" spans="1:24" ht="12.75" hidden="1">
      <c r="A234" s="65"/>
      <c r="B234" s="66"/>
      <c r="C234" s="66"/>
      <c r="D234" s="66"/>
      <c r="E234" s="66"/>
      <c r="F234" s="66"/>
      <c r="G234" s="66"/>
      <c r="H234" s="67"/>
      <c r="I234" s="67"/>
      <c r="J234" s="338"/>
      <c r="K234" s="67"/>
      <c r="L234" s="67"/>
      <c r="M234" s="66"/>
      <c r="N234" s="66"/>
      <c r="O234" s="66"/>
      <c r="W234" s="66"/>
      <c r="X234" s="65"/>
    </row>
    <row r="235" spans="1:33" ht="142.5" customHeight="1">
      <c r="A235" s="75"/>
      <c r="B235" s="73" t="s">
        <v>21</v>
      </c>
      <c r="C235" s="78" t="s">
        <v>148</v>
      </c>
      <c r="D235" s="78" t="s">
        <v>149</v>
      </c>
      <c r="E235" s="78" t="s">
        <v>151</v>
      </c>
      <c r="F235" s="78"/>
      <c r="G235" s="78"/>
      <c r="H235" s="78" t="s">
        <v>149</v>
      </c>
      <c r="I235" s="78"/>
      <c r="J235" s="363" t="s">
        <v>151</v>
      </c>
      <c r="K235" s="78" t="s">
        <v>140</v>
      </c>
      <c r="L235" s="78" t="s">
        <v>153</v>
      </c>
      <c r="M235" s="78" t="s">
        <v>150</v>
      </c>
      <c r="N235" s="78" t="s">
        <v>181</v>
      </c>
      <c r="O235" s="79" t="s">
        <v>152</v>
      </c>
      <c r="P235" s="78" t="s">
        <v>153</v>
      </c>
      <c r="Q235" s="78" t="s">
        <v>150</v>
      </c>
      <c r="R235" s="78" t="s">
        <v>181</v>
      </c>
      <c r="S235" s="79" t="s">
        <v>152</v>
      </c>
      <c r="T235" s="78" t="s">
        <v>141</v>
      </c>
      <c r="U235" s="501" t="s">
        <v>180</v>
      </c>
      <c r="V235" s="501"/>
      <c r="W235" s="339"/>
      <c r="X235" s="339"/>
      <c r="Y235" s="339"/>
      <c r="Z235" s="339"/>
      <c r="AA235" s="339"/>
      <c r="AB235" s="339"/>
      <c r="AC235" s="339"/>
      <c r="AD235" s="339"/>
      <c r="AE235" s="540"/>
      <c r="AF235" s="540"/>
      <c r="AG235" s="340"/>
    </row>
    <row r="236" spans="1:33" ht="12.75">
      <c r="A236" s="2">
        <v>1</v>
      </c>
      <c r="B236" s="81">
        <v>2</v>
      </c>
      <c r="C236" s="81">
        <v>3</v>
      </c>
      <c r="D236" s="81">
        <v>4</v>
      </c>
      <c r="E236" s="81">
        <v>5</v>
      </c>
      <c r="F236" s="81"/>
      <c r="G236" s="81"/>
      <c r="H236" s="81">
        <v>4</v>
      </c>
      <c r="I236" s="81"/>
      <c r="J236" s="381">
        <v>5</v>
      </c>
      <c r="K236" s="81">
        <v>6</v>
      </c>
      <c r="L236" s="81">
        <v>7</v>
      </c>
      <c r="M236" s="81">
        <v>8</v>
      </c>
      <c r="N236" s="81">
        <v>9</v>
      </c>
      <c r="O236" s="82">
        <v>10</v>
      </c>
      <c r="P236" s="81">
        <v>7</v>
      </c>
      <c r="Q236" s="81">
        <v>8</v>
      </c>
      <c r="R236" s="81">
        <v>9</v>
      </c>
      <c r="S236" s="82">
        <v>10</v>
      </c>
      <c r="T236" s="82">
        <v>11</v>
      </c>
      <c r="U236" s="505">
        <v>12</v>
      </c>
      <c r="V236" s="505"/>
      <c r="W236" s="341"/>
      <c r="X236" s="341"/>
      <c r="Y236" s="341"/>
      <c r="Z236" s="341"/>
      <c r="AA236" s="341"/>
      <c r="AB236" s="341"/>
      <c r="AC236" s="341"/>
      <c r="AD236" s="341"/>
      <c r="AE236" s="543"/>
      <c r="AF236" s="543"/>
      <c r="AG236" s="340"/>
    </row>
    <row r="237" spans="1:33" ht="26.25">
      <c r="A237" s="72">
        <v>1</v>
      </c>
      <c r="B237" s="71" t="s">
        <v>38</v>
      </c>
      <c r="C237" s="68" t="s">
        <v>143</v>
      </c>
      <c r="D237" s="68" t="s">
        <v>143</v>
      </c>
      <c r="E237" s="68" t="s">
        <v>143</v>
      </c>
      <c r="F237" s="68"/>
      <c r="G237" s="68"/>
      <c r="H237" s="68" t="s">
        <v>143</v>
      </c>
      <c r="I237" s="68"/>
      <c r="J237" s="342" t="s">
        <v>143</v>
      </c>
      <c r="K237" s="68" t="s">
        <v>143</v>
      </c>
      <c r="L237" s="68" t="s">
        <v>143</v>
      </c>
      <c r="M237" s="68" t="s">
        <v>143</v>
      </c>
      <c r="N237" s="68" t="s">
        <v>143</v>
      </c>
      <c r="O237" s="68" t="s">
        <v>143</v>
      </c>
      <c r="P237" s="68" t="s">
        <v>143</v>
      </c>
      <c r="Q237" s="68" t="s">
        <v>143</v>
      </c>
      <c r="R237" s="68" t="s">
        <v>143</v>
      </c>
      <c r="S237" s="68" t="s">
        <v>143</v>
      </c>
      <c r="T237" s="68" t="s">
        <v>143</v>
      </c>
      <c r="U237" s="500">
        <v>8864.3</v>
      </c>
      <c r="V237" s="500"/>
      <c r="W237" s="343"/>
      <c r="X237" s="343"/>
      <c r="Y237" s="343"/>
      <c r="Z237" s="343"/>
      <c r="AA237" s="343"/>
      <c r="AB237" s="343"/>
      <c r="AC237" s="343"/>
      <c r="AD237" s="343"/>
      <c r="AE237" s="508"/>
      <c r="AF237" s="508"/>
      <c r="AG237" s="340"/>
    </row>
    <row r="238" spans="1:33" ht="12.75">
      <c r="A238" s="72"/>
      <c r="B238" s="73" t="s">
        <v>39</v>
      </c>
      <c r="C238" s="68" t="s">
        <v>143</v>
      </c>
      <c r="D238" s="68" t="s">
        <v>143</v>
      </c>
      <c r="E238" s="68" t="s">
        <v>143</v>
      </c>
      <c r="F238" s="68"/>
      <c r="G238" s="68"/>
      <c r="H238" s="68" t="s">
        <v>143</v>
      </c>
      <c r="I238" s="68"/>
      <c r="J238" s="342" t="s">
        <v>143</v>
      </c>
      <c r="K238" s="68" t="s">
        <v>143</v>
      </c>
      <c r="L238" s="68" t="s">
        <v>143</v>
      </c>
      <c r="M238" s="68" t="s">
        <v>143</v>
      </c>
      <c r="N238" s="68" t="s">
        <v>143</v>
      </c>
      <c r="O238" s="68" t="s">
        <v>143</v>
      </c>
      <c r="P238" s="68" t="s">
        <v>143</v>
      </c>
      <c r="Q238" s="68" t="s">
        <v>143</v>
      </c>
      <c r="R238" s="68" t="s">
        <v>143</v>
      </c>
      <c r="S238" s="68" t="s">
        <v>143</v>
      </c>
      <c r="T238" s="68" t="s">
        <v>143</v>
      </c>
      <c r="U238" s="502"/>
      <c r="V238" s="502"/>
      <c r="W238" s="343"/>
      <c r="X238" s="343"/>
      <c r="Y238" s="343"/>
      <c r="Z238" s="343"/>
      <c r="AA238" s="343"/>
      <c r="AB238" s="343"/>
      <c r="AC238" s="343"/>
      <c r="AD238" s="343"/>
      <c r="AE238" s="510"/>
      <c r="AF238" s="510"/>
      <c r="AG238" s="340"/>
    </row>
    <row r="239" spans="1:33" ht="12.75">
      <c r="A239" s="72"/>
      <c r="B239" s="73" t="s">
        <v>103</v>
      </c>
      <c r="C239" s="68" t="s">
        <v>143</v>
      </c>
      <c r="D239" s="68" t="s">
        <v>143</v>
      </c>
      <c r="E239" s="68" t="s">
        <v>143</v>
      </c>
      <c r="F239" s="68"/>
      <c r="G239" s="68"/>
      <c r="H239" s="68" t="s">
        <v>143</v>
      </c>
      <c r="I239" s="68"/>
      <c r="J239" s="342" t="s">
        <v>143</v>
      </c>
      <c r="K239" s="68" t="s">
        <v>143</v>
      </c>
      <c r="L239" s="68" t="s">
        <v>143</v>
      </c>
      <c r="M239" s="68" t="s">
        <v>143</v>
      </c>
      <c r="N239" s="68" t="s">
        <v>143</v>
      </c>
      <c r="O239" s="68" t="s">
        <v>143</v>
      </c>
      <c r="P239" s="68" t="s">
        <v>143</v>
      </c>
      <c r="Q239" s="68" t="s">
        <v>143</v>
      </c>
      <c r="R239" s="68" t="s">
        <v>143</v>
      </c>
      <c r="S239" s="68" t="s">
        <v>143</v>
      </c>
      <c r="T239" s="68" t="s">
        <v>143</v>
      </c>
      <c r="U239" s="502"/>
      <c r="V239" s="502"/>
      <c r="W239" s="343"/>
      <c r="X239" s="343"/>
      <c r="Y239" s="343"/>
      <c r="Z239" s="343"/>
      <c r="AA239" s="343"/>
      <c r="AB239" s="343"/>
      <c r="AC239" s="343"/>
      <c r="AD239" s="343"/>
      <c r="AE239" s="510"/>
      <c r="AF239" s="510"/>
      <c r="AG239" s="340"/>
    </row>
    <row r="240" spans="1:33" ht="12.75">
      <c r="A240" s="72"/>
      <c r="B240" s="71" t="s">
        <v>40</v>
      </c>
      <c r="C240" s="68" t="s">
        <v>143</v>
      </c>
      <c r="D240" s="68" t="s">
        <v>143</v>
      </c>
      <c r="E240" s="68" t="s">
        <v>143</v>
      </c>
      <c r="F240" s="68"/>
      <c r="G240" s="68"/>
      <c r="H240" s="68" t="s">
        <v>143</v>
      </c>
      <c r="I240" s="68"/>
      <c r="J240" s="342" t="s">
        <v>143</v>
      </c>
      <c r="K240" s="68" t="s">
        <v>143</v>
      </c>
      <c r="L240" s="68" t="s">
        <v>143</v>
      </c>
      <c r="M240" s="68" t="s">
        <v>143</v>
      </c>
      <c r="N240" s="68" t="s">
        <v>143</v>
      </c>
      <c r="O240" s="68" t="s">
        <v>143</v>
      </c>
      <c r="P240" s="68" t="s">
        <v>143</v>
      </c>
      <c r="Q240" s="68" t="s">
        <v>143</v>
      </c>
      <c r="R240" s="68" t="s">
        <v>143</v>
      </c>
      <c r="S240" s="68" t="s">
        <v>143</v>
      </c>
      <c r="T240" s="68" t="s">
        <v>143</v>
      </c>
      <c r="U240" s="502"/>
      <c r="V240" s="502"/>
      <c r="W240" s="343"/>
      <c r="X240" s="343"/>
      <c r="Y240" s="343"/>
      <c r="Z240" s="343"/>
      <c r="AA240" s="343"/>
      <c r="AB240" s="343"/>
      <c r="AC240" s="343"/>
      <c r="AD240" s="343"/>
      <c r="AE240" s="510"/>
      <c r="AF240" s="510"/>
      <c r="AG240" s="340"/>
    </row>
    <row r="241" spans="1:33" ht="39">
      <c r="A241" s="62">
        <v>2</v>
      </c>
      <c r="B241" s="71" t="s">
        <v>183</v>
      </c>
      <c r="C241" s="123">
        <f>H241*J241</f>
        <v>1849.56</v>
      </c>
      <c r="D241" s="344">
        <f>0.0296*12</f>
        <v>0.3552</v>
      </c>
      <c r="E241" s="124">
        <v>31619</v>
      </c>
      <c r="F241" s="124"/>
      <c r="G241" s="124"/>
      <c r="H241" s="77">
        <v>0.26</v>
      </c>
      <c r="I241" s="77"/>
      <c r="J241" s="99">
        <v>7113.7</v>
      </c>
      <c r="K241" s="345"/>
      <c r="L241" s="346">
        <f>M241*N241*O241</f>
        <v>2433.6</v>
      </c>
      <c r="M241" s="124">
        <v>0.2</v>
      </c>
      <c r="N241" s="124">
        <v>12</v>
      </c>
      <c r="O241" s="99">
        <v>1014</v>
      </c>
      <c r="P241" s="346">
        <f>Q241*R241*S241</f>
        <v>0</v>
      </c>
      <c r="Q241" s="124"/>
      <c r="R241" s="124"/>
      <c r="S241" s="99"/>
      <c r="T241" s="345"/>
      <c r="U241" s="500">
        <f>C241+K241+P241+T241</f>
        <v>1849.56</v>
      </c>
      <c r="V241" s="500"/>
      <c r="W241" s="347"/>
      <c r="X241" s="348"/>
      <c r="Y241" s="349"/>
      <c r="Z241" s="350"/>
      <c r="AA241" s="348"/>
      <c r="AB241" s="348"/>
      <c r="AC241" s="348"/>
      <c r="AD241" s="349"/>
      <c r="AE241" s="508"/>
      <c r="AF241" s="508"/>
      <c r="AG241" s="340"/>
    </row>
    <row r="242" spans="1:33" ht="26.25">
      <c r="A242" s="62">
        <v>3</v>
      </c>
      <c r="B242" s="71" t="s">
        <v>154</v>
      </c>
      <c r="C242" s="123">
        <f>H242*J242</f>
        <v>426.13</v>
      </c>
      <c r="D242" s="77"/>
      <c r="E242" s="124"/>
      <c r="F242" s="124"/>
      <c r="G242" s="124"/>
      <c r="H242" s="77">
        <v>0.36</v>
      </c>
      <c r="I242" s="77"/>
      <c r="J242" s="99">
        <v>1183.7</v>
      </c>
      <c r="K242" s="345">
        <v>0</v>
      </c>
      <c r="L242" s="346">
        <f>M242*N242*O242</f>
        <v>0</v>
      </c>
      <c r="M242" s="124"/>
      <c r="N242" s="124"/>
      <c r="O242" s="99"/>
      <c r="P242" s="346">
        <f>Q242*R242*S242</f>
        <v>0</v>
      </c>
      <c r="Q242" s="124">
        <v>0</v>
      </c>
      <c r="R242" s="124">
        <v>0</v>
      </c>
      <c r="S242" s="99">
        <v>0</v>
      </c>
      <c r="T242" s="345"/>
      <c r="U242" s="500">
        <f>C242+K242+P242+T242</f>
        <v>426.13</v>
      </c>
      <c r="V242" s="500"/>
      <c r="W242" s="351"/>
      <c r="X242" s="348"/>
      <c r="Y242" s="349"/>
      <c r="Z242" s="350"/>
      <c r="AA242" s="348"/>
      <c r="AB242" s="348"/>
      <c r="AC242" s="348"/>
      <c r="AD242" s="349"/>
      <c r="AE242" s="508"/>
      <c r="AF242" s="508"/>
      <c r="AG242" s="340"/>
    </row>
    <row r="243" spans="1:33" ht="12.75">
      <c r="A243" s="72">
        <v>4</v>
      </c>
      <c r="B243" s="71" t="s">
        <v>184</v>
      </c>
      <c r="C243" s="68" t="s">
        <v>143</v>
      </c>
      <c r="D243" s="68" t="s">
        <v>143</v>
      </c>
      <c r="E243" s="68" t="s">
        <v>143</v>
      </c>
      <c r="F243" s="68"/>
      <c r="G243" s="68"/>
      <c r="H243" s="68" t="s">
        <v>143</v>
      </c>
      <c r="I243" s="68"/>
      <c r="J243" s="342" t="s">
        <v>143</v>
      </c>
      <c r="K243" s="68" t="s">
        <v>143</v>
      </c>
      <c r="L243" s="68" t="s">
        <v>143</v>
      </c>
      <c r="M243" s="68" t="s">
        <v>143</v>
      </c>
      <c r="N243" s="68" t="s">
        <v>143</v>
      </c>
      <c r="O243" s="68" t="s">
        <v>143</v>
      </c>
      <c r="P243" s="68" t="s">
        <v>143</v>
      </c>
      <c r="Q243" s="68" t="s">
        <v>143</v>
      </c>
      <c r="R243" s="68" t="s">
        <v>143</v>
      </c>
      <c r="S243" s="68" t="s">
        <v>143</v>
      </c>
      <c r="T243" s="68" t="s">
        <v>143</v>
      </c>
      <c r="U243" s="502"/>
      <c r="V243" s="502"/>
      <c r="W243" s="343"/>
      <c r="X243" s="343"/>
      <c r="Y243" s="343"/>
      <c r="Z243" s="343"/>
      <c r="AA243" s="343"/>
      <c r="AB243" s="343"/>
      <c r="AC243" s="343"/>
      <c r="AD243" s="343"/>
      <c r="AE243" s="510"/>
      <c r="AF243" s="510"/>
      <c r="AG243" s="340"/>
    </row>
    <row r="244" spans="1:33" ht="12.75">
      <c r="A244" s="72">
        <v>5</v>
      </c>
      <c r="B244" s="71" t="s">
        <v>22</v>
      </c>
      <c r="C244" s="68" t="s">
        <v>143</v>
      </c>
      <c r="D244" s="68" t="s">
        <v>143</v>
      </c>
      <c r="E244" s="68" t="s">
        <v>143</v>
      </c>
      <c r="F244" s="68"/>
      <c r="G244" s="68"/>
      <c r="H244" s="68" t="s">
        <v>143</v>
      </c>
      <c r="I244" s="68"/>
      <c r="J244" s="342" t="s">
        <v>143</v>
      </c>
      <c r="K244" s="68" t="s">
        <v>143</v>
      </c>
      <c r="L244" s="68" t="s">
        <v>143</v>
      </c>
      <c r="M244" s="68" t="s">
        <v>143</v>
      </c>
      <c r="N244" s="68" t="s">
        <v>143</v>
      </c>
      <c r="O244" s="68" t="s">
        <v>143</v>
      </c>
      <c r="P244" s="68" t="s">
        <v>143</v>
      </c>
      <c r="Q244" s="68" t="s">
        <v>143</v>
      </c>
      <c r="R244" s="68" t="s">
        <v>143</v>
      </c>
      <c r="S244" s="68" t="s">
        <v>143</v>
      </c>
      <c r="T244" s="68" t="s">
        <v>143</v>
      </c>
      <c r="U244" s="544">
        <v>26.3</v>
      </c>
      <c r="V244" s="545"/>
      <c r="W244" s="343"/>
      <c r="X244" s="343"/>
      <c r="Y244" s="343"/>
      <c r="Z244" s="343"/>
      <c r="AA244" s="343"/>
      <c r="AB244" s="343"/>
      <c r="AC244" s="343"/>
      <c r="AD244" s="343"/>
      <c r="AE244" s="509"/>
      <c r="AF244" s="509"/>
      <c r="AG244" s="340"/>
    </row>
    <row r="245" spans="1:33" ht="12.75">
      <c r="A245" s="72">
        <v>6</v>
      </c>
      <c r="B245" s="71" t="s">
        <v>25</v>
      </c>
      <c r="C245" s="68" t="s">
        <v>143</v>
      </c>
      <c r="D245" s="68" t="s">
        <v>143</v>
      </c>
      <c r="E245" s="68" t="s">
        <v>143</v>
      </c>
      <c r="F245" s="68"/>
      <c r="G245" s="68"/>
      <c r="H245" s="68" t="s">
        <v>143</v>
      </c>
      <c r="I245" s="68"/>
      <c r="J245" s="342" t="s">
        <v>143</v>
      </c>
      <c r="K245" s="68" t="s">
        <v>143</v>
      </c>
      <c r="L245" s="68" t="s">
        <v>143</v>
      </c>
      <c r="M245" s="68" t="s">
        <v>143</v>
      </c>
      <c r="N245" s="68" t="s">
        <v>143</v>
      </c>
      <c r="O245" s="68" t="s">
        <v>143</v>
      </c>
      <c r="P245" s="68" t="s">
        <v>143</v>
      </c>
      <c r="Q245" s="68" t="s">
        <v>143</v>
      </c>
      <c r="R245" s="68" t="s">
        <v>143</v>
      </c>
      <c r="S245" s="68" t="s">
        <v>143</v>
      </c>
      <c r="T245" s="68" t="s">
        <v>143</v>
      </c>
      <c r="U245" s="507"/>
      <c r="V245" s="507"/>
      <c r="W245" s="343"/>
      <c r="X245" s="343"/>
      <c r="Y245" s="343"/>
      <c r="Z245" s="343"/>
      <c r="AA245" s="343"/>
      <c r="AB245" s="343"/>
      <c r="AC245" s="343"/>
      <c r="AD245" s="343"/>
      <c r="AE245" s="509"/>
      <c r="AF245" s="509"/>
      <c r="AG245" s="340"/>
    </row>
    <row r="246" spans="1:33" ht="12.75">
      <c r="A246" s="134"/>
      <c r="B246" s="135" t="s">
        <v>41</v>
      </c>
      <c r="C246" s="352">
        <f>C241+C242</f>
        <v>2275.7</v>
      </c>
      <c r="D246" s="133" t="s">
        <v>143</v>
      </c>
      <c r="E246" s="133" t="s">
        <v>143</v>
      </c>
      <c r="F246" s="133"/>
      <c r="G246" s="133"/>
      <c r="H246" s="133" t="s">
        <v>143</v>
      </c>
      <c r="I246" s="133"/>
      <c r="J246" s="342" t="s">
        <v>143</v>
      </c>
      <c r="K246" s="352">
        <f>K241+K242</f>
        <v>0</v>
      </c>
      <c r="L246" s="352">
        <f>L241+L242</f>
        <v>2433.6</v>
      </c>
      <c r="M246" s="133" t="s">
        <v>143</v>
      </c>
      <c r="N246" s="133" t="s">
        <v>143</v>
      </c>
      <c r="O246" s="133" t="s">
        <v>143</v>
      </c>
      <c r="P246" s="352">
        <f>P241+P242</f>
        <v>0</v>
      </c>
      <c r="Q246" s="133" t="s">
        <v>143</v>
      </c>
      <c r="R246" s="133" t="s">
        <v>143</v>
      </c>
      <c r="S246" s="133" t="s">
        <v>143</v>
      </c>
      <c r="T246" s="352">
        <f>T241+T242</f>
        <v>0</v>
      </c>
      <c r="U246" s="506">
        <f>U237+U241+U242+U243+U244+U245</f>
        <v>11166.29</v>
      </c>
      <c r="V246" s="506"/>
      <c r="W246" s="353"/>
      <c r="X246" s="353"/>
      <c r="Y246" s="354"/>
      <c r="Z246" s="354"/>
      <c r="AA246" s="353"/>
      <c r="AB246" s="353"/>
      <c r="AC246" s="353"/>
      <c r="AD246" s="354"/>
      <c r="AE246" s="508"/>
      <c r="AF246" s="508"/>
      <c r="AG246" s="340"/>
    </row>
    <row r="247" spans="1:33" ht="12.75">
      <c r="A247" s="65"/>
      <c r="B247" s="66"/>
      <c r="C247" s="66"/>
      <c r="D247" s="66"/>
      <c r="E247" s="66"/>
      <c r="F247" s="66"/>
      <c r="G247" s="66"/>
      <c r="H247" s="67"/>
      <c r="I247" s="67"/>
      <c r="J247" s="338"/>
      <c r="K247" s="67"/>
      <c r="L247" s="67"/>
      <c r="M247" s="66"/>
      <c r="N247" s="66"/>
      <c r="O247" s="66"/>
      <c r="W247" s="355"/>
      <c r="X247" s="356"/>
      <c r="Y247" s="340"/>
      <c r="Z247" s="340"/>
      <c r="AA247" s="340"/>
      <c r="AB247" s="340"/>
      <c r="AC247" s="340"/>
      <c r="AD247" s="340"/>
      <c r="AE247" s="340"/>
      <c r="AF247" s="340"/>
      <c r="AG247" s="340"/>
    </row>
    <row r="248" spans="1:24" ht="12.75">
      <c r="A248" s="65"/>
      <c r="B248" s="66"/>
      <c r="C248" s="66"/>
      <c r="D248" s="66"/>
      <c r="E248" s="66"/>
      <c r="F248" s="66"/>
      <c r="G248" s="66"/>
      <c r="H248" s="67"/>
      <c r="I248" s="67"/>
      <c r="J248" s="338"/>
      <c r="K248" s="67"/>
      <c r="L248" s="67"/>
      <c r="M248" s="66"/>
      <c r="N248" s="66"/>
      <c r="O248" s="66"/>
      <c r="W248" s="66"/>
      <c r="X248" s="65"/>
    </row>
    <row r="249" spans="1:24" ht="12.75">
      <c r="A249" s="65"/>
      <c r="B249" s="66"/>
      <c r="C249" s="66"/>
      <c r="D249" s="66"/>
      <c r="E249" s="66"/>
      <c r="F249" s="66"/>
      <c r="G249" s="66"/>
      <c r="H249" s="67"/>
      <c r="I249" s="67"/>
      <c r="J249" s="338"/>
      <c r="K249" s="67"/>
      <c r="L249" s="67"/>
      <c r="M249" s="66"/>
      <c r="N249" s="66"/>
      <c r="O249" s="66"/>
      <c r="W249" s="66"/>
      <c r="X249" s="65"/>
    </row>
    <row r="250" spans="1:24" ht="12.75">
      <c r="A250" s="65"/>
      <c r="B250" s="66"/>
      <c r="C250" s="66"/>
      <c r="D250" s="66"/>
      <c r="E250" s="66"/>
      <c r="F250" s="66"/>
      <c r="G250" s="66"/>
      <c r="H250" s="67"/>
      <c r="I250" s="67"/>
      <c r="J250" s="338"/>
      <c r="K250" s="67"/>
      <c r="L250" s="67"/>
      <c r="M250" s="66"/>
      <c r="N250" s="66"/>
      <c r="O250" s="66"/>
      <c r="W250" s="66"/>
      <c r="X250" s="65"/>
    </row>
    <row r="251" spans="1:24" ht="12.75">
      <c r="A251" s="65"/>
      <c r="B251" s="66"/>
      <c r="C251" s="66"/>
      <c r="D251" s="66"/>
      <c r="E251" s="66"/>
      <c r="F251" s="66"/>
      <c r="G251" s="66"/>
      <c r="H251" s="67"/>
      <c r="I251" s="67"/>
      <c r="J251" s="338"/>
      <c r="K251" s="67"/>
      <c r="L251" s="67"/>
      <c r="M251" s="66"/>
      <c r="N251" s="66"/>
      <c r="O251" s="66"/>
      <c r="W251" s="66"/>
      <c r="X251" s="65"/>
    </row>
    <row r="252" spans="1:24" ht="12.75">
      <c r="A252" s="65"/>
      <c r="B252" s="66"/>
      <c r="C252" s="66"/>
      <c r="D252" s="66"/>
      <c r="E252" s="66"/>
      <c r="F252" s="66"/>
      <c r="G252" s="66"/>
      <c r="H252" s="67"/>
      <c r="I252" s="67"/>
      <c r="J252" s="338"/>
      <c r="K252" s="67"/>
      <c r="L252" s="67"/>
      <c r="M252" s="66"/>
      <c r="N252" s="66"/>
      <c r="O252" s="66"/>
      <c r="W252" s="66"/>
      <c r="X252" s="65"/>
    </row>
    <row r="253" spans="1:24" ht="12.75">
      <c r="A253" s="65"/>
      <c r="B253" s="66"/>
      <c r="C253" s="66"/>
      <c r="D253" s="66"/>
      <c r="E253" s="66"/>
      <c r="F253" s="66"/>
      <c r="G253" s="66"/>
      <c r="H253" s="67"/>
      <c r="I253" s="67"/>
      <c r="J253" s="338"/>
      <c r="K253" s="67"/>
      <c r="L253" s="67"/>
      <c r="M253" s="66"/>
      <c r="N253" s="66"/>
      <c r="O253" s="66"/>
      <c r="W253" s="66"/>
      <c r="X253" s="65"/>
    </row>
    <row r="254" spans="1:24" ht="12.75">
      <c r="A254" s="65"/>
      <c r="B254" s="66"/>
      <c r="C254" s="66"/>
      <c r="D254" s="66"/>
      <c r="E254" s="66"/>
      <c r="F254" s="66"/>
      <c r="G254" s="66"/>
      <c r="H254" s="67"/>
      <c r="I254" s="67"/>
      <c r="J254" s="338"/>
      <c r="K254" s="67"/>
      <c r="L254" s="67"/>
      <c r="M254" s="66"/>
      <c r="N254" s="66"/>
      <c r="O254" s="66"/>
      <c r="W254" s="66"/>
      <c r="X254" s="65"/>
    </row>
    <row r="255" spans="1:24" ht="12.75">
      <c r="A255" s="65"/>
      <c r="B255" s="66"/>
      <c r="C255" s="66"/>
      <c r="D255" s="66"/>
      <c r="E255" s="66"/>
      <c r="F255" s="66"/>
      <c r="G255" s="66"/>
      <c r="H255" s="67"/>
      <c r="I255" s="67"/>
      <c r="J255" s="338"/>
      <c r="K255" s="67"/>
      <c r="L255" s="67"/>
      <c r="M255" s="66"/>
      <c r="N255" s="66"/>
      <c r="O255" s="66"/>
      <c r="W255" s="66"/>
      <c r="X255" s="65"/>
    </row>
    <row r="256" spans="1:24" ht="12.75">
      <c r="A256" s="65"/>
      <c r="B256" s="66"/>
      <c r="C256" s="66"/>
      <c r="D256" s="66"/>
      <c r="E256" s="66"/>
      <c r="F256" s="66"/>
      <c r="G256" s="66"/>
      <c r="H256" s="67"/>
      <c r="I256" s="67"/>
      <c r="J256" s="338"/>
      <c r="K256" s="67"/>
      <c r="L256" s="67"/>
      <c r="M256" s="66"/>
      <c r="N256" s="66"/>
      <c r="O256" s="66"/>
      <c r="W256" s="66"/>
      <c r="X256" s="65"/>
    </row>
    <row r="257" spans="1:24" ht="18">
      <c r="A257" s="65"/>
      <c r="B257" s="131" t="s">
        <v>144</v>
      </c>
      <c r="C257" s="66"/>
      <c r="D257" s="66"/>
      <c r="E257" s="66"/>
      <c r="F257" s="66"/>
      <c r="G257" s="66"/>
      <c r="H257" s="67"/>
      <c r="I257" s="67"/>
      <c r="J257" s="338"/>
      <c r="K257" s="67"/>
      <c r="L257" s="67"/>
      <c r="M257" s="66"/>
      <c r="N257" s="66"/>
      <c r="O257" s="66"/>
      <c r="W257" s="66"/>
      <c r="X257" s="65"/>
    </row>
    <row r="258" spans="1:24" ht="18">
      <c r="A258" s="65"/>
      <c r="B258" s="131"/>
      <c r="C258" s="66"/>
      <c r="D258" s="66"/>
      <c r="E258" s="66"/>
      <c r="F258" s="66"/>
      <c r="G258" s="66"/>
      <c r="H258" s="67"/>
      <c r="I258" s="67"/>
      <c r="J258" s="338"/>
      <c r="K258" s="67"/>
      <c r="L258" s="67"/>
      <c r="M258" s="66"/>
      <c r="N258" s="66"/>
      <c r="O258" s="66"/>
      <c r="W258" s="66"/>
      <c r="X258" s="65"/>
    </row>
    <row r="259" spans="1:24" ht="18">
      <c r="A259" s="65"/>
      <c r="B259" s="131"/>
      <c r="C259" s="66"/>
      <c r="D259" s="66"/>
      <c r="E259" s="66"/>
      <c r="F259" s="66"/>
      <c r="G259" s="66"/>
      <c r="H259" s="67"/>
      <c r="I259" s="67"/>
      <c r="J259" s="338"/>
      <c r="K259" s="67"/>
      <c r="L259" s="67"/>
      <c r="M259" s="66"/>
      <c r="N259" s="66"/>
      <c r="O259" s="66"/>
      <c r="W259" s="66"/>
      <c r="X259" s="65"/>
    </row>
    <row r="260" spans="1:24" ht="18">
      <c r="A260" s="65"/>
      <c r="B260" s="131"/>
      <c r="C260" s="66"/>
      <c r="D260" s="66"/>
      <c r="E260" s="66"/>
      <c r="F260" s="66"/>
      <c r="G260" s="66"/>
      <c r="H260" s="67"/>
      <c r="I260" s="67"/>
      <c r="J260" s="338"/>
      <c r="K260" s="67"/>
      <c r="L260" s="67"/>
      <c r="M260" s="66"/>
      <c r="N260" s="66"/>
      <c r="O260" s="66"/>
      <c r="W260" s="66"/>
      <c r="X260" s="65"/>
    </row>
    <row r="261" spans="1:24" ht="18">
      <c r="A261" s="65"/>
      <c r="B261" s="131"/>
      <c r="C261" s="66"/>
      <c r="D261" s="66"/>
      <c r="E261" s="66"/>
      <c r="F261" s="66"/>
      <c r="G261" s="66"/>
      <c r="H261" s="67"/>
      <c r="I261" s="67"/>
      <c r="J261" s="338"/>
      <c r="K261" s="67"/>
      <c r="L261" s="67"/>
      <c r="M261" s="66"/>
      <c r="N261" s="66"/>
      <c r="O261" s="66"/>
      <c r="W261" s="66"/>
      <c r="X261" s="65"/>
    </row>
    <row r="262" ht="18">
      <c r="B262" s="132"/>
    </row>
    <row r="263" ht="18">
      <c r="B263" s="132"/>
    </row>
    <row r="264" ht="18">
      <c r="B264" s="132"/>
    </row>
    <row r="265" ht="18">
      <c r="B265" s="132" t="s">
        <v>146</v>
      </c>
    </row>
    <row r="266" ht="18">
      <c r="B266" s="132" t="s">
        <v>145</v>
      </c>
    </row>
  </sheetData>
  <sheetProtection/>
  <mergeCells count="90">
    <mergeCell ref="AE236:AF236"/>
    <mergeCell ref="U243:V243"/>
    <mergeCell ref="AE243:AF243"/>
    <mergeCell ref="U244:V244"/>
    <mergeCell ref="U239:V239"/>
    <mergeCell ref="AE239:AF239"/>
    <mergeCell ref="U240:V240"/>
    <mergeCell ref="AE240:AF240"/>
    <mergeCell ref="U241:V241"/>
    <mergeCell ref="AE241:AF241"/>
    <mergeCell ref="L215:O215"/>
    <mergeCell ref="L216:O216"/>
    <mergeCell ref="A223:E223"/>
    <mergeCell ref="N223:W223"/>
    <mergeCell ref="AE235:AF235"/>
    <mergeCell ref="U236:V236"/>
    <mergeCell ref="A227:E227"/>
    <mergeCell ref="O227:W227"/>
    <mergeCell ref="A233:V233"/>
    <mergeCell ref="U235:V235"/>
    <mergeCell ref="L209:O209"/>
    <mergeCell ref="L210:O210"/>
    <mergeCell ref="L211:O211"/>
    <mergeCell ref="L212:O212"/>
    <mergeCell ref="L213:O213"/>
    <mergeCell ref="L214:O214"/>
    <mergeCell ref="V203:V204"/>
    <mergeCell ref="U203:U204"/>
    <mergeCell ref="L205:O205"/>
    <mergeCell ref="L206:O206"/>
    <mergeCell ref="L207:O207"/>
    <mergeCell ref="L208:O208"/>
    <mergeCell ref="B191:C191"/>
    <mergeCell ref="B192:C192"/>
    <mergeCell ref="A201:B201"/>
    <mergeCell ref="A203:A204"/>
    <mergeCell ref="B203:B204"/>
    <mergeCell ref="C203:C204"/>
    <mergeCell ref="P5:V5"/>
    <mergeCell ref="K6:K7"/>
    <mergeCell ref="P6:Q6"/>
    <mergeCell ref="R6:V6"/>
    <mergeCell ref="B189:C189"/>
    <mergeCell ref="B190:C190"/>
    <mergeCell ref="F5:F7"/>
    <mergeCell ref="G5:G7"/>
    <mergeCell ref="H5:H7"/>
    <mergeCell ref="J5:K5"/>
    <mergeCell ref="A3:D3"/>
    <mergeCell ref="A4:A7"/>
    <mergeCell ref="B4:B7"/>
    <mergeCell ref="C4:C7"/>
    <mergeCell ref="J6:J7"/>
    <mergeCell ref="W9:W11"/>
    <mergeCell ref="W12:W13"/>
    <mergeCell ref="W21:W24"/>
    <mergeCell ref="W29:W30"/>
    <mergeCell ref="A1:W2"/>
    <mergeCell ref="E3:L3"/>
    <mergeCell ref="M3:V3"/>
    <mergeCell ref="W3:W7"/>
    <mergeCell ref="F4:I4"/>
    <mergeCell ref="J4:V4"/>
    <mergeCell ref="A202:W202"/>
    <mergeCell ref="F203:F204"/>
    <mergeCell ref="H203:H204"/>
    <mergeCell ref="K203:K204"/>
    <mergeCell ref="L203:O204"/>
    <mergeCell ref="P203:T203"/>
    <mergeCell ref="W203:W204"/>
    <mergeCell ref="D203:D204"/>
    <mergeCell ref="E203:E204"/>
    <mergeCell ref="J203:J204"/>
    <mergeCell ref="U237:V237"/>
    <mergeCell ref="AE237:AF237"/>
    <mergeCell ref="U238:V238"/>
    <mergeCell ref="AE238:AF238"/>
    <mergeCell ref="B188:C188"/>
    <mergeCell ref="L217:O217"/>
    <mergeCell ref="A219:W219"/>
    <mergeCell ref="A220:J220"/>
    <mergeCell ref="N220:W220"/>
    <mergeCell ref="B200:W200"/>
    <mergeCell ref="U246:V246"/>
    <mergeCell ref="AE246:AF246"/>
    <mergeCell ref="AE242:AF242"/>
    <mergeCell ref="AE244:AF244"/>
    <mergeCell ref="U245:V245"/>
    <mergeCell ref="AE245:AF245"/>
    <mergeCell ref="U242:V242"/>
  </mergeCells>
  <printOptions/>
  <pageMargins left="0" right="0" top="0" bottom="0" header="0.5118110236220472" footer="0.511811023622047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267"/>
  <sheetViews>
    <sheetView tabSelected="1" zoomScalePageLayoutView="0" workbookViewId="0" topLeftCell="A1">
      <selection activeCell="A1" sqref="A1:Y2"/>
    </sheetView>
  </sheetViews>
  <sheetFormatPr defaultColWidth="9.00390625" defaultRowHeight="12.75"/>
  <cols>
    <col min="1" max="1" width="4.375" style="0" customWidth="1"/>
    <col min="2" max="2" width="21.875" style="4" customWidth="1"/>
    <col min="3" max="3" width="8.125" style="4" customWidth="1"/>
    <col min="4" max="4" width="8.50390625" style="4" hidden="1" customWidth="1"/>
    <col min="5" max="5" width="9.00390625" style="4" hidden="1" customWidth="1"/>
    <col min="6" max="7" width="8.875" style="4" hidden="1" customWidth="1"/>
    <col min="8" max="8" width="8.50390625" style="6" customWidth="1"/>
    <col min="9" max="9" width="8.50390625" style="6" hidden="1" customWidth="1"/>
    <col min="10" max="10" width="7.875" style="6" customWidth="1"/>
    <col min="11" max="11" width="8.50390625" style="6" customWidth="1"/>
    <col min="12" max="12" width="8.50390625" style="357" customWidth="1"/>
    <col min="13" max="13" width="8.00390625" style="6" customWidth="1"/>
    <col min="14" max="14" width="8.50390625" style="6" hidden="1" customWidth="1"/>
    <col min="15" max="15" width="7.50390625" style="4" hidden="1" customWidth="1"/>
    <col min="16" max="16" width="8.50390625" style="4" hidden="1" customWidth="1"/>
    <col min="17" max="17" width="6.50390625" style="4" hidden="1" customWidth="1"/>
    <col min="18" max="18" width="8.125" style="0" customWidth="1"/>
    <col min="19" max="19" width="8.625" style="0" customWidth="1"/>
    <col min="20" max="20" width="8.125" style="0" customWidth="1"/>
    <col min="21" max="21" width="7.875" style="337" customWidth="1"/>
    <col min="22" max="22" width="8.125" style="0" customWidth="1"/>
    <col min="23" max="23" width="7.50390625" style="0" customWidth="1"/>
    <col min="24" max="24" width="7.625" style="0" customWidth="1"/>
    <col min="25" max="25" width="10.375" style="4" customWidth="1"/>
    <col min="26" max="26" width="9.875" style="0" customWidth="1"/>
    <col min="28" max="28" width="11.50390625" style="0" customWidth="1"/>
  </cols>
  <sheetData>
    <row r="1" spans="1:25" ht="10.5" customHeight="1">
      <c r="A1" s="482" t="s">
        <v>227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</row>
    <row r="2" spans="1:25" ht="21.75" customHeigh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</row>
    <row r="3" spans="1:25" ht="18" customHeight="1">
      <c r="A3" s="493" t="s">
        <v>228</v>
      </c>
      <c r="B3" s="481"/>
      <c r="C3" s="481"/>
      <c r="D3" s="481"/>
      <c r="E3" s="481" t="s">
        <v>229</v>
      </c>
      <c r="F3" s="481"/>
      <c r="G3" s="481"/>
      <c r="H3" s="481"/>
      <c r="I3" s="481"/>
      <c r="J3" s="481"/>
      <c r="K3" s="481"/>
      <c r="L3" s="481"/>
      <c r="M3" s="481"/>
      <c r="N3" s="481"/>
      <c r="O3" s="524"/>
      <c r="P3" s="525"/>
      <c r="Q3" s="525"/>
      <c r="R3" s="525"/>
      <c r="S3" s="525"/>
      <c r="T3" s="525"/>
      <c r="U3" s="525"/>
      <c r="V3" s="525"/>
      <c r="W3" s="525"/>
      <c r="X3" s="526"/>
      <c r="Y3" s="527" t="s">
        <v>136</v>
      </c>
    </row>
    <row r="4" spans="1:25" ht="17.25" customHeight="1">
      <c r="A4" s="478" t="s">
        <v>0</v>
      </c>
      <c r="B4" s="478" t="s">
        <v>1</v>
      </c>
      <c r="C4" s="478" t="s">
        <v>2</v>
      </c>
      <c r="D4" s="189" t="s">
        <v>198</v>
      </c>
      <c r="E4" s="189" t="s">
        <v>199</v>
      </c>
      <c r="F4" s="497" t="s">
        <v>239</v>
      </c>
      <c r="G4" s="498"/>
      <c r="H4" s="498"/>
      <c r="I4" s="498"/>
      <c r="J4" s="498"/>
      <c r="K4" s="392"/>
      <c r="L4" s="497" t="s">
        <v>200</v>
      </c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9"/>
      <c r="Y4" s="527"/>
    </row>
    <row r="5" spans="1:25" ht="21.75" customHeight="1">
      <c r="A5" s="479"/>
      <c r="B5" s="479"/>
      <c r="C5" s="479"/>
      <c r="D5" s="190"/>
      <c r="E5" s="190"/>
      <c r="F5" s="528" t="s">
        <v>234</v>
      </c>
      <c r="G5" s="528" t="s">
        <v>107</v>
      </c>
      <c r="H5" s="528" t="s">
        <v>235</v>
      </c>
      <c r="I5" s="528" t="s">
        <v>235</v>
      </c>
      <c r="J5" s="528" t="s">
        <v>245</v>
      </c>
      <c r="K5" s="478" t="s">
        <v>105</v>
      </c>
      <c r="L5" s="476" t="s">
        <v>107</v>
      </c>
      <c r="M5" s="476"/>
      <c r="N5" s="192"/>
      <c r="O5" s="192"/>
      <c r="P5" s="192"/>
      <c r="Q5" s="192"/>
      <c r="R5" s="497" t="s">
        <v>201</v>
      </c>
      <c r="S5" s="498"/>
      <c r="T5" s="498"/>
      <c r="U5" s="498"/>
      <c r="V5" s="498"/>
      <c r="W5" s="498"/>
      <c r="X5" s="499"/>
      <c r="Y5" s="527"/>
    </row>
    <row r="6" spans="1:25" ht="18" customHeight="1">
      <c r="A6" s="479"/>
      <c r="B6" s="479"/>
      <c r="C6" s="479"/>
      <c r="D6" s="190"/>
      <c r="E6" s="190"/>
      <c r="F6" s="529"/>
      <c r="G6" s="529"/>
      <c r="H6" s="529"/>
      <c r="I6" s="529"/>
      <c r="J6" s="529"/>
      <c r="K6" s="479"/>
      <c r="L6" s="476" t="s">
        <v>233</v>
      </c>
      <c r="M6" s="456" t="s">
        <v>105</v>
      </c>
      <c r="N6" s="193" t="s">
        <v>109</v>
      </c>
      <c r="O6" s="194"/>
      <c r="P6" s="195" t="s">
        <v>113</v>
      </c>
      <c r="Q6" s="196" t="s">
        <v>114</v>
      </c>
      <c r="R6" s="497" t="s">
        <v>203</v>
      </c>
      <c r="S6" s="499"/>
      <c r="T6" s="497" t="s">
        <v>204</v>
      </c>
      <c r="U6" s="498"/>
      <c r="V6" s="498"/>
      <c r="W6" s="498"/>
      <c r="X6" s="499"/>
      <c r="Y6" s="527"/>
    </row>
    <row r="7" spans="1:25" ht="48" customHeight="1">
      <c r="A7" s="480"/>
      <c r="B7" s="480"/>
      <c r="C7" s="480"/>
      <c r="D7" s="191"/>
      <c r="E7" s="191"/>
      <c r="F7" s="530"/>
      <c r="G7" s="530"/>
      <c r="H7" s="530"/>
      <c r="I7" s="530"/>
      <c r="J7" s="530"/>
      <c r="K7" s="480"/>
      <c r="L7" s="476"/>
      <c r="M7" s="456"/>
      <c r="N7" s="192" t="s">
        <v>104</v>
      </c>
      <c r="O7" s="57" t="s">
        <v>105</v>
      </c>
      <c r="P7" s="197"/>
      <c r="Q7" s="191"/>
      <c r="R7" s="192" t="s">
        <v>202</v>
      </c>
      <c r="S7" s="57" t="s">
        <v>205</v>
      </c>
      <c r="T7" s="192" t="s">
        <v>202</v>
      </c>
      <c r="U7" s="57" t="s">
        <v>206</v>
      </c>
      <c r="V7" s="189" t="s">
        <v>205</v>
      </c>
      <c r="W7" s="198" t="s">
        <v>207</v>
      </c>
      <c r="X7" s="189" t="s">
        <v>114</v>
      </c>
      <c r="Y7" s="527"/>
    </row>
    <row r="8" spans="1:25" s="201" customFormat="1" ht="11.2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4</v>
      </c>
      <c r="G8" s="48">
        <v>5</v>
      </c>
      <c r="H8" s="56">
        <v>4</v>
      </c>
      <c r="I8" s="56"/>
      <c r="J8" s="56">
        <v>5</v>
      </c>
      <c r="K8" s="56">
        <v>6</v>
      </c>
      <c r="L8" s="56">
        <v>7</v>
      </c>
      <c r="M8" s="48">
        <v>8</v>
      </c>
      <c r="N8" s="56">
        <v>7</v>
      </c>
      <c r="O8" s="48">
        <v>8</v>
      </c>
      <c r="P8" s="56">
        <v>9</v>
      </c>
      <c r="Q8" s="48">
        <v>10</v>
      </c>
      <c r="R8" s="199">
        <v>9</v>
      </c>
      <c r="S8" s="48">
        <v>10</v>
      </c>
      <c r="T8" s="56">
        <v>11</v>
      </c>
      <c r="U8" s="48">
        <v>12</v>
      </c>
      <c r="V8" s="56">
        <v>13</v>
      </c>
      <c r="W8" s="48">
        <v>14</v>
      </c>
      <c r="X8" s="199">
        <v>15</v>
      </c>
      <c r="Y8" s="58">
        <v>16</v>
      </c>
    </row>
    <row r="9" spans="1:28" ht="16.5" customHeight="1">
      <c r="A9" s="51">
        <v>1</v>
      </c>
      <c r="B9" s="39" t="s">
        <v>3</v>
      </c>
      <c r="C9" s="52" t="s">
        <v>4</v>
      </c>
      <c r="D9" s="202">
        <f>D10+D11+D12+D13+D14+D15+D16+D17</f>
        <v>0</v>
      </c>
      <c r="E9" s="203">
        <f>E10+E11+E12+E13+E14+E15+E16+E17</f>
        <v>0</v>
      </c>
      <c r="F9" s="202">
        <v>194171</v>
      </c>
      <c r="G9" s="227">
        <v>16332</v>
      </c>
      <c r="H9" s="113">
        <f>H10</f>
        <v>12762.88</v>
      </c>
      <c r="I9" s="113">
        <v>16332</v>
      </c>
      <c r="J9" s="113">
        <v>12762.88</v>
      </c>
      <c r="K9" s="107">
        <f>J9/H9*100-100</f>
        <v>0</v>
      </c>
      <c r="L9" s="227">
        <v>16332</v>
      </c>
      <c r="M9" s="89">
        <f aca="true" t="shared" si="0" ref="M9:M24">L9/(H9+1E-133)*100-100</f>
        <v>27.96</v>
      </c>
      <c r="N9" s="204">
        <f>N10+N11+N12+N13+N14+N15+N16+N17</f>
        <v>0</v>
      </c>
      <c r="O9" s="88">
        <f aca="true" t="shared" si="1" ref="O9:O18">N9/(H9+1E-106)*100-100</f>
        <v>-100</v>
      </c>
      <c r="P9" s="89">
        <f aca="true" t="shared" si="2" ref="P9:P18">N9-L9</f>
        <v>-16332</v>
      </c>
      <c r="Q9" s="86"/>
      <c r="R9" s="204">
        <f>H9</f>
        <v>12762.88</v>
      </c>
      <c r="S9" s="239">
        <f>R9/(H9+1E-106)*100-100</f>
        <v>0</v>
      </c>
      <c r="T9" s="204">
        <f>R9</f>
        <v>12762.88</v>
      </c>
      <c r="U9" s="206">
        <f>T9/(R9+1E-106)*100-100</f>
        <v>0</v>
      </c>
      <c r="V9" s="212">
        <f>T9/(H9+1E-106)*100-100</f>
        <v>0</v>
      </c>
      <c r="W9" s="207">
        <f aca="true" t="shared" si="3" ref="W9:W72">T9-L9</f>
        <v>-3569.1</v>
      </c>
      <c r="X9" s="206"/>
      <c r="Y9" s="468" t="s">
        <v>208</v>
      </c>
      <c r="Z9" s="3"/>
      <c r="AA9" s="3"/>
      <c r="AB9" s="8"/>
    </row>
    <row r="10" spans="1:28" ht="12.75" customHeight="1">
      <c r="A10" s="1"/>
      <c r="B10" s="40" t="s">
        <v>193</v>
      </c>
      <c r="C10" s="31" t="s">
        <v>4</v>
      </c>
      <c r="D10" s="208"/>
      <c r="E10" s="209"/>
      <c r="F10" s="359">
        <v>186668</v>
      </c>
      <c r="G10" s="385">
        <v>16332</v>
      </c>
      <c r="H10" s="100">
        <f>H18+H21</f>
        <v>12762.88</v>
      </c>
      <c r="I10" s="100">
        <v>16332</v>
      </c>
      <c r="J10" s="100">
        <v>12762.88</v>
      </c>
      <c r="K10" s="107">
        <f aca="true" t="shared" si="4" ref="K10:K73">J10/H10*100-100</f>
        <v>0</v>
      </c>
      <c r="L10" s="385">
        <v>16332</v>
      </c>
      <c r="M10" s="91">
        <f t="shared" si="0"/>
        <v>27.96</v>
      </c>
      <c r="N10" s="210"/>
      <c r="O10" s="90">
        <f t="shared" si="1"/>
        <v>-100</v>
      </c>
      <c r="P10" s="91">
        <f t="shared" si="2"/>
        <v>-16332</v>
      </c>
      <c r="Q10" s="92"/>
      <c r="R10" s="210">
        <f>R9</f>
        <v>12762.88</v>
      </c>
      <c r="S10" s="239">
        <f aca="true" t="shared" si="5" ref="S10:S73">R10/(H10+1E-106)*100-100</f>
        <v>0</v>
      </c>
      <c r="T10" s="210">
        <f>R10</f>
        <v>12762.88</v>
      </c>
      <c r="U10" s="212">
        <f aca="true" t="shared" si="6" ref="U10:U73">T10/(R10+1E-106)*100-100</f>
        <v>0</v>
      </c>
      <c r="V10" s="212">
        <f aca="true" t="shared" si="7" ref="V10:V73">T10/(H10+1E-106)*100-100</f>
        <v>0</v>
      </c>
      <c r="W10" s="211">
        <f t="shared" si="3"/>
        <v>-3569.1</v>
      </c>
      <c r="X10" s="211"/>
      <c r="Y10" s="468"/>
      <c r="Z10" s="3"/>
      <c r="AA10" s="3"/>
      <c r="AB10" s="8"/>
    </row>
    <row r="11" spans="1:28" ht="12.75" customHeight="1" hidden="1">
      <c r="A11" s="1"/>
      <c r="B11" s="40" t="s">
        <v>87</v>
      </c>
      <c r="C11" s="31" t="s">
        <v>4</v>
      </c>
      <c r="D11" s="208"/>
      <c r="E11" s="209"/>
      <c r="F11" s="359">
        <v>7114</v>
      </c>
      <c r="G11" s="385"/>
      <c r="H11" s="98"/>
      <c r="I11" s="98"/>
      <c r="J11" s="98"/>
      <c r="K11" s="107" t="e">
        <f t="shared" si="4"/>
        <v>#DIV/0!</v>
      </c>
      <c r="L11" s="385"/>
      <c r="M11" s="91">
        <f t="shared" si="0"/>
        <v>-100</v>
      </c>
      <c r="N11" s="213"/>
      <c r="O11" s="90">
        <f t="shared" si="1"/>
        <v>-100</v>
      </c>
      <c r="P11" s="91">
        <f t="shared" si="2"/>
        <v>0</v>
      </c>
      <c r="Q11" s="92"/>
      <c r="R11" s="213"/>
      <c r="S11" s="239">
        <f t="shared" si="5"/>
        <v>-100</v>
      </c>
      <c r="T11" s="213"/>
      <c r="U11" s="212">
        <f t="shared" si="6"/>
        <v>-100</v>
      </c>
      <c r="V11" s="212">
        <f t="shared" si="7"/>
        <v>-100</v>
      </c>
      <c r="W11" s="211">
        <f t="shared" si="3"/>
        <v>0</v>
      </c>
      <c r="X11" s="211"/>
      <c r="Y11" s="468"/>
      <c r="Z11" s="3"/>
      <c r="AA11" s="3"/>
      <c r="AB11" s="8"/>
    </row>
    <row r="12" spans="1:28" ht="12.75" customHeight="1" hidden="1">
      <c r="A12" s="1"/>
      <c r="B12" s="40" t="s">
        <v>88</v>
      </c>
      <c r="C12" s="31" t="s">
        <v>4</v>
      </c>
      <c r="D12" s="208"/>
      <c r="E12" s="209"/>
      <c r="F12" s="359"/>
      <c r="G12" s="385"/>
      <c r="H12" s="98"/>
      <c r="I12" s="98"/>
      <c r="J12" s="98"/>
      <c r="K12" s="107" t="e">
        <f t="shared" si="4"/>
        <v>#DIV/0!</v>
      </c>
      <c r="L12" s="385"/>
      <c r="M12" s="91">
        <f t="shared" si="0"/>
        <v>-100</v>
      </c>
      <c r="N12" s="213"/>
      <c r="O12" s="90">
        <f t="shared" si="1"/>
        <v>-100</v>
      </c>
      <c r="P12" s="91">
        <f t="shared" si="2"/>
        <v>0</v>
      </c>
      <c r="Q12" s="92"/>
      <c r="R12" s="213">
        <f>L12</f>
        <v>0</v>
      </c>
      <c r="S12" s="239">
        <f t="shared" si="5"/>
        <v>-100</v>
      </c>
      <c r="T12" s="213">
        <f>R12</f>
        <v>0</v>
      </c>
      <c r="U12" s="212">
        <f t="shared" si="6"/>
        <v>-100</v>
      </c>
      <c r="V12" s="212">
        <f t="shared" si="7"/>
        <v>-100</v>
      </c>
      <c r="W12" s="211">
        <f t="shared" si="3"/>
        <v>0</v>
      </c>
      <c r="X12" s="211"/>
      <c r="Y12" s="453" t="s">
        <v>209</v>
      </c>
      <c r="Z12" s="3"/>
      <c r="AA12" s="3"/>
      <c r="AB12" s="8"/>
    </row>
    <row r="13" spans="1:28" ht="12.75" customHeight="1" hidden="1">
      <c r="A13" s="1"/>
      <c r="B13" s="40" t="s">
        <v>89</v>
      </c>
      <c r="C13" s="31" t="s">
        <v>4</v>
      </c>
      <c r="D13" s="214"/>
      <c r="E13" s="215"/>
      <c r="F13" s="214">
        <v>389</v>
      </c>
      <c r="G13" s="386"/>
      <c r="H13" s="98"/>
      <c r="I13" s="98"/>
      <c r="J13" s="98"/>
      <c r="K13" s="107" t="e">
        <f t="shared" si="4"/>
        <v>#DIV/0!</v>
      </c>
      <c r="L13" s="386"/>
      <c r="M13" s="91">
        <f t="shared" si="0"/>
        <v>-100</v>
      </c>
      <c r="N13" s="213"/>
      <c r="O13" s="90">
        <f t="shared" si="1"/>
        <v>-100</v>
      </c>
      <c r="P13" s="91">
        <f t="shared" si="2"/>
        <v>0</v>
      </c>
      <c r="Q13" s="92"/>
      <c r="R13" s="213"/>
      <c r="S13" s="239">
        <f t="shared" si="5"/>
        <v>-100</v>
      </c>
      <c r="T13" s="213"/>
      <c r="U13" s="212">
        <f t="shared" si="6"/>
        <v>-100</v>
      </c>
      <c r="V13" s="212">
        <f t="shared" si="7"/>
        <v>-100</v>
      </c>
      <c r="W13" s="211">
        <f t="shared" si="3"/>
        <v>0</v>
      </c>
      <c r="X13" s="211"/>
      <c r="Y13" s="455"/>
      <c r="Z13" s="3"/>
      <c r="AA13" s="3"/>
      <c r="AB13" s="8"/>
    </row>
    <row r="14" spans="1:28" ht="12.75" customHeight="1" hidden="1">
      <c r="A14" s="1"/>
      <c r="B14" s="40" t="s">
        <v>90</v>
      </c>
      <c r="C14" s="31" t="s">
        <v>4</v>
      </c>
      <c r="D14" s="214"/>
      <c r="E14" s="215"/>
      <c r="F14" s="214"/>
      <c r="G14" s="386"/>
      <c r="H14" s="98"/>
      <c r="I14" s="98"/>
      <c r="J14" s="98"/>
      <c r="K14" s="107" t="e">
        <f t="shared" si="4"/>
        <v>#DIV/0!</v>
      </c>
      <c r="L14" s="386"/>
      <c r="M14" s="91">
        <f t="shared" si="0"/>
        <v>-100</v>
      </c>
      <c r="N14" s="213"/>
      <c r="O14" s="90">
        <f t="shared" si="1"/>
        <v>-100</v>
      </c>
      <c r="P14" s="91">
        <f t="shared" si="2"/>
        <v>0</v>
      </c>
      <c r="Q14" s="92"/>
      <c r="R14" s="213"/>
      <c r="S14" s="239">
        <f t="shared" si="5"/>
        <v>-100</v>
      </c>
      <c r="T14" s="213"/>
      <c r="U14" s="212">
        <f t="shared" si="6"/>
        <v>-100</v>
      </c>
      <c r="V14" s="212">
        <f t="shared" si="7"/>
        <v>-100</v>
      </c>
      <c r="W14" s="211">
        <f t="shared" si="3"/>
        <v>0</v>
      </c>
      <c r="X14" s="211"/>
      <c r="Y14" s="216"/>
      <c r="Z14" s="3"/>
      <c r="AA14" s="3"/>
      <c r="AB14" s="8"/>
    </row>
    <row r="15" spans="1:28" ht="12.75" customHeight="1" hidden="1">
      <c r="A15" s="1"/>
      <c r="B15" s="40" t="s">
        <v>91</v>
      </c>
      <c r="C15" s="31" t="s">
        <v>4</v>
      </c>
      <c r="D15" s="214"/>
      <c r="E15" s="215"/>
      <c r="F15" s="214"/>
      <c r="G15" s="386"/>
      <c r="H15" s="98"/>
      <c r="I15" s="98"/>
      <c r="J15" s="98"/>
      <c r="K15" s="107" t="e">
        <f t="shared" si="4"/>
        <v>#DIV/0!</v>
      </c>
      <c r="L15" s="386"/>
      <c r="M15" s="91">
        <f t="shared" si="0"/>
        <v>-100</v>
      </c>
      <c r="N15" s="213"/>
      <c r="O15" s="90">
        <f t="shared" si="1"/>
        <v>-100</v>
      </c>
      <c r="P15" s="91">
        <f t="shared" si="2"/>
        <v>0</v>
      </c>
      <c r="Q15" s="92"/>
      <c r="R15" s="213"/>
      <c r="S15" s="239">
        <f t="shared" si="5"/>
        <v>-100</v>
      </c>
      <c r="T15" s="213"/>
      <c r="U15" s="212">
        <f t="shared" si="6"/>
        <v>-100</v>
      </c>
      <c r="V15" s="212">
        <f t="shared" si="7"/>
        <v>-100</v>
      </c>
      <c r="W15" s="211">
        <f t="shared" si="3"/>
        <v>0</v>
      </c>
      <c r="X15" s="211"/>
      <c r="Y15" s="216"/>
      <c r="Z15" s="3"/>
      <c r="AA15" s="3"/>
      <c r="AB15" s="8"/>
    </row>
    <row r="16" spans="1:28" ht="12.75" customHeight="1" hidden="1">
      <c r="A16" s="1"/>
      <c r="B16" s="40" t="s">
        <v>92</v>
      </c>
      <c r="C16" s="31" t="s">
        <v>4</v>
      </c>
      <c r="D16" s="214"/>
      <c r="E16" s="215"/>
      <c r="F16" s="214"/>
      <c r="G16" s="386"/>
      <c r="H16" s="98"/>
      <c r="I16" s="98"/>
      <c r="J16" s="98"/>
      <c r="K16" s="107" t="e">
        <f t="shared" si="4"/>
        <v>#DIV/0!</v>
      </c>
      <c r="L16" s="386"/>
      <c r="M16" s="91">
        <f t="shared" si="0"/>
        <v>-100</v>
      </c>
      <c r="N16" s="213"/>
      <c r="O16" s="90">
        <f t="shared" si="1"/>
        <v>-100</v>
      </c>
      <c r="P16" s="91">
        <f t="shared" si="2"/>
        <v>0</v>
      </c>
      <c r="Q16" s="92"/>
      <c r="R16" s="213"/>
      <c r="S16" s="239">
        <f t="shared" si="5"/>
        <v>-100</v>
      </c>
      <c r="T16" s="213"/>
      <c r="U16" s="212">
        <f t="shared" si="6"/>
        <v>-100</v>
      </c>
      <c r="V16" s="212">
        <f t="shared" si="7"/>
        <v>-100</v>
      </c>
      <c r="W16" s="211">
        <f t="shared" si="3"/>
        <v>0</v>
      </c>
      <c r="X16" s="211"/>
      <c r="Y16" s="216"/>
      <c r="Z16" s="3"/>
      <c r="AA16" s="3"/>
      <c r="AB16" s="8"/>
    </row>
    <row r="17" spans="1:28" ht="12.75" customHeight="1" hidden="1">
      <c r="A17" s="1"/>
      <c r="B17" s="40" t="s">
        <v>102</v>
      </c>
      <c r="C17" s="31" t="s">
        <v>4</v>
      </c>
      <c r="D17" s="214"/>
      <c r="E17" s="215"/>
      <c r="F17" s="214"/>
      <c r="G17" s="386"/>
      <c r="H17" s="98"/>
      <c r="I17" s="98"/>
      <c r="J17" s="98"/>
      <c r="K17" s="107" t="e">
        <f t="shared" si="4"/>
        <v>#DIV/0!</v>
      </c>
      <c r="L17" s="386"/>
      <c r="M17" s="91">
        <f t="shared" si="0"/>
        <v>-100</v>
      </c>
      <c r="N17" s="213"/>
      <c r="O17" s="90">
        <f t="shared" si="1"/>
        <v>-100</v>
      </c>
      <c r="P17" s="91">
        <f t="shared" si="2"/>
        <v>0</v>
      </c>
      <c r="Q17" s="92"/>
      <c r="R17" s="213"/>
      <c r="S17" s="239">
        <f t="shared" si="5"/>
        <v>-100</v>
      </c>
      <c r="T17" s="213"/>
      <c r="U17" s="212">
        <f t="shared" si="6"/>
        <v>-100</v>
      </c>
      <c r="V17" s="212">
        <f t="shared" si="7"/>
        <v>-100</v>
      </c>
      <c r="W17" s="211">
        <f t="shared" si="3"/>
        <v>0</v>
      </c>
      <c r="X17" s="211"/>
      <c r="Y17" s="216"/>
      <c r="Z17" s="3"/>
      <c r="AA17" s="3"/>
      <c r="AB17" s="8"/>
    </row>
    <row r="18" spans="1:28" ht="12.75" customHeight="1">
      <c r="A18" s="51">
        <v>2</v>
      </c>
      <c r="B18" s="40" t="s">
        <v>26</v>
      </c>
      <c r="C18" s="31" t="s">
        <v>4</v>
      </c>
      <c r="D18" s="208"/>
      <c r="E18" s="215"/>
      <c r="F18" s="214">
        <v>5993.8</v>
      </c>
      <c r="G18" s="386">
        <v>506.4</v>
      </c>
      <c r="H18" s="100">
        <v>383.36</v>
      </c>
      <c r="I18" s="100">
        <v>506.4</v>
      </c>
      <c r="J18" s="100">
        <v>383.36</v>
      </c>
      <c r="K18" s="107">
        <f t="shared" si="4"/>
        <v>0</v>
      </c>
      <c r="L18" s="386">
        <v>506.4</v>
      </c>
      <c r="M18" s="91">
        <f t="shared" si="0"/>
        <v>32.1</v>
      </c>
      <c r="N18" s="210"/>
      <c r="O18" s="90">
        <f t="shared" si="1"/>
        <v>-100</v>
      </c>
      <c r="P18" s="91">
        <f t="shared" si="2"/>
        <v>-506.4</v>
      </c>
      <c r="Q18" s="92"/>
      <c r="R18" s="210">
        <f>R10-R21</f>
        <v>383.36</v>
      </c>
      <c r="S18" s="239">
        <f t="shared" si="5"/>
        <v>0</v>
      </c>
      <c r="T18" s="210">
        <f>H18</f>
        <v>383.36</v>
      </c>
      <c r="U18" s="212">
        <f t="shared" si="6"/>
        <v>0</v>
      </c>
      <c r="V18" s="212">
        <f t="shared" si="7"/>
        <v>0</v>
      </c>
      <c r="W18" s="211">
        <f t="shared" si="3"/>
        <v>-123</v>
      </c>
      <c r="X18" s="211"/>
      <c r="Y18" s="216"/>
      <c r="Z18" s="3"/>
      <c r="AA18" s="3"/>
      <c r="AB18" s="8"/>
    </row>
    <row r="19" spans="1:28" ht="12.75" customHeight="1">
      <c r="A19" s="1"/>
      <c r="B19" s="40" t="s">
        <v>26</v>
      </c>
      <c r="C19" s="31" t="s">
        <v>5</v>
      </c>
      <c r="D19" s="217">
        <f>D18/(D9+1E-124)*100</f>
        <v>0</v>
      </c>
      <c r="E19" s="218">
        <f>E18/(E9+1E-124)*100</f>
        <v>0</v>
      </c>
      <c r="F19" s="217">
        <v>3.1</v>
      </c>
      <c r="G19" s="218">
        <v>3.1</v>
      </c>
      <c r="H19" s="220">
        <f>H18/(H9+1E-124)*100</f>
        <v>3</v>
      </c>
      <c r="I19" s="220">
        <f>I18/(I9+1E-124)*100</f>
        <v>3.1</v>
      </c>
      <c r="J19" s="220">
        <v>3</v>
      </c>
      <c r="K19" s="107">
        <f t="shared" si="4"/>
        <v>0</v>
      </c>
      <c r="L19" s="218">
        <v>3.1</v>
      </c>
      <c r="M19" s="91">
        <f t="shared" si="0"/>
        <v>3.33</v>
      </c>
      <c r="N19" s="220">
        <f>N18/(N9+1E-124)*100</f>
        <v>0</v>
      </c>
      <c r="O19" s="90"/>
      <c r="P19" s="91"/>
      <c r="Q19" s="92"/>
      <c r="R19" s="220">
        <f>R18/(R9+1E-124)*100</f>
        <v>3</v>
      </c>
      <c r="S19" s="239">
        <f t="shared" si="5"/>
        <v>0</v>
      </c>
      <c r="T19" s="220">
        <f>T18/(T9+1E-124)*100</f>
        <v>3</v>
      </c>
      <c r="U19" s="212">
        <f t="shared" si="6"/>
        <v>0</v>
      </c>
      <c r="V19" s="212">
        <f t="shared" si="7"/>
        <v>0</v>
      </c>
      <c r="W19" s="211">
        <f t="shared" si="3"/>
        <v>-0.1</v>
      </c>
      <c r="X19" s="211"/>
      <c r="Y19" s="216"/>
      <c r="AA19" s="7"/>
      <c r="AB19" s="9"/>
    </row>
    <row r="20" spans="1:28" ht="25.5" customHeight="1" hidden="1">
      <c r="A20" s="51">
        <v>3</v>
      </c>
      <c r="B20" s="39" t="s">
        <v>112</v>
      </c>
      <c r="C20" s="52" t="s">
        <v>4</v>
      </c>
      <c r="D20" s="221"/>
      <c r="E20" s="222"/>
      <c r="F20" s="221"/>
      <c r="G20" s="222"/>
      <c r="H20" s="145"/>
      <c r="I20" s="145"/>
      <c r="J20" s="145"/>
      <c r="K20" s="107" t="e">
        <f t="shared" si="4"/>
        <v>#DIV/0!</v>
      </c>
      <c r="L20" s="222"/>
      <c r="M20" s="89">
        <f t="shared" si="0"/>
        <v>-100</v>
      </c>
      <c r="N20" s="223"/>
      <c r="O20" s="88">
        <f>N20/(H20+1E-106)*100-100</f>
        <v>-100</v>
      </c>
      <c r="P20" s="89">
        <f>N20-L20</f>
        <v>0</v>
      </c>
      <c r="Q20" s="86"/>
      <c r="R20" s="223"/>
      <c r="S20" s="239">
        <f t="shared" si="5"/>
        <v>-100</v>
      </c>
      <c r="T20" s="223"/>
      <c r="U20" s="206">
        <f t="shared" si="6"/>
        <v>-100</v>
      </c>
      <c r="V20" s="212">
        <f t="shared" si="7"/>
        <v>-100</v>
      </c>
      <c r="W20" s="207">
        <f t="shared" si="3"/>
        <v>0</v>
      </c>
      <c r="X20" s="211"/>
      <c r="Y20" s="216"/>
      <c r="AA20" s="7"/>
      <c r="AB20" s="9"/>
    </row>
    <row r="21" spans="1:28" ht="12.75" customHeight="1">
      <c r="A21" s="51">
        <v>4</v>
      </c>
      <c r="B21" s="39" t="s">
        <v>31</v>
      </c>
      <c r="C21" s="52" t="s">
        <v>4</v>
      </c>
      <c r="D21" s="202">
        <f>D9-D18+D20</f>
        <v>0</v>
      </c>
      <c r="E21" s="203">
        <f>E9-E18+E20</f>
        <v>0</v>
      </c>
      <c r="F21" s="202">
        <v>188177.2</v>
      </c>
      <c r="G21" s="227">
        <v>15825.6</v>
      </c>
      <c r="H21" s="145">
        <f>H22+H24</f>
        <v>12379.52</v>
      </c>
      <c r="I21" s="145">
        <v>15825.6</v>
      </c>
      <c r="J21" s="145">
        <v>12379.52</v>
      </c>
      <c r="K21" s="107">
        <f t="shared" si="4"/>
        <v>0</v>
      </c>
      <c r="L21" s="227">
        <v>15825.6</v>
      </c>
      <c r="M21" s="89">
        <f t="shared" si="0"/>
        <v>27.84</v>
      </c>
      <c r="N21" s="204">
        <f>N9-N18+N20</f>
        <v>0</v>
      </c>
      <c r="O21" s="88">
        <f>N21/(H21+1E-106)*100-100</f>
        <v>-100</v>
      </c>
      <c r="P21" s="89">
        <f>N21-L21</f>
        <v>-15825.6</v>
      </c>
      <c r="Q21" s="86"/>
      <c r="R21" s="204">
        <f>R22+R24</f>
        <v>12379.52</v>
      </c>
      <c r="S21" s="239">
        <f t="shared" si="5"/>
        <v>0</v>
      </c>
      <c r="T21" s="204">
        <f>T9-T18+T20</f>
        <v>12379.52</v>
      </c>
      <c r="U21" s="206">
        <f t="shared" si="6"/>
        <v>0</v>
      </c>
      <c r="V21" s="212">
        <f t="shared" si="7"/>
        <v>0</v>
      </c>
      <c r="W21" s="207">
        <f t="shared" si="3"/>
        <v>-3446.1</v>
      </c>
      <c r="X21" s="206"/>
      <c r="Y21" s="453" t="s">
        <v>232</v>
      </c>
      <c r="Z21" s="224"/>
      <c r="AA21" s="7"/>
      <c r="AB21" s="9"/>
    </row>
    <row r="22" spans="1:28" ht="12.75" customHeight="1">
      <c r="A22" s="51">
        <v>5</v>
      </c>
      <c r="B22" s="40" t="s">
        <v>32</v>
      </c>
      <c r="C22" s="31" t="s">
        <v>4</v>
      </c>
      <c r="D22" s="217">
        <f>D21-D24</f>
        <v>0</v>
      </c>
      <c r="E22" s="225">
        <f>E21-E24</f>
        <v>-11804.5</v>
      </c>
      <c r="F22" s="217">
        <v>18377.62</v>
      </c>
      <c r="G22" s="218">
        <v>4021.5</v>
      </c>
      <c r="H22" s="100">
        <v>1213.23</v>
      </c>
      <c r="I22" s="100">
        <v>4021.5</v>
      </c>
      <c r="J22" s="100">
        <v>1213.23</v>
      </c>
      <c r="K22" s="107">
        <f t="shared" si="4"/>
        <v>0</v>
      </c>
      <c r="L22" s="218">
        <v>4021.5</v>
      </c>
      <c r="M22" s="91">
        <f t="shared" si="0"/>
        <v>231.47</v>
      </c>
      <c r="N22" s="210">
        <v>0</v>
      </c>
      <c r="O22" s="90">
        <f>N22/(H22+1E-106)*100-100</f>
        <v>-100</v>
      </c>
      <c r="P22" s="91">
        <f>N22-L22</f>
        <v>-4021.5</v>
      </c>
      <c r="Q22" s="92"/>
      <c r="R22" s="210">
        <f>H22</f>
        <v>1213.23</v>
      </c>
      <c r="S22" s="239">
        <f t="shared" si="5"/>
        <v>0</v>
      </c>
      <c r="T22" s="210">
        <f>R22</f>
        <v>1213.23</v>
      </c>
      <c r="U22" s="212">
        <f t="shared" si="6"/>
        <v>0</v>
      </c>
      <c r="V22" s="212">
        <f t="shared" si="7"/>
        <v>0</v>
      </c>
      <c r="W22" s="211">
        <f t="shared" si="3"/>
        <v>-2808.3</v>
      </c>
      <c r="X22" s="211"/>
      <c r="Y22" s="454"/>
      <c r="AA22" s="7"/>
      <c r="AB22" s="9"/>
    </row>
    <row r="23" spans="1:28" ht="12.75" customHeight="1">
      <c r="A23" s="1"/>
      <c r="B23" s="40" t="s">
        <v>32</v>
      </c>
      <c r="C23" s="31" t="s">
        <v>5</v>
      </c>
      <c r="D23" s="217">
        <f>D22/(D21+1E-144)*100</f>
        <v>0</v>
      </c>
      <c r="E23" s="218">
        <f>E22/(E21+1E-144)*100</f>
        <v>-1.18045E+150</v>
      </c>
      <c r="F23" s="217">
        <v>9.8</v>
      </c>
      <c r="G23" s="218">
        <v>25.4</v>
      </c>
      <c r="H23" s="220">
        <f>H22/(H21+1E-144)*100</f>
        <v>9.8</v>
      </c>
      <c r="I23" s="220">
        <v>25.4</v>
      </c>
      <c r="J23" s="220">
        <v>9.8</v>
      </c>
      <c r="K23" s="107">
        <f t="shared" si="4"/>
        <v>0</v>
      </c>
      <c r="L23" s="218">
        <v>25.4</v>
      </c>
      <c r="M23" s="91">
        <f t="shared" si="0"/>
        <v>159.18</v>
      </c>
      <c r="N23" s="220"/>
      <c r="O23" s="90"/>
      <c r="P23" s="91"/>
      <c r="Q23" s="92"/>
      <c r="R23" s="220">
        <f>R22/(R21+1E-144)*100</f>
        <v>9.8</v>
      </c>
      <c r="S23" s="239">
        <f t="shared" si="5"/>
        <v>0</v>
      </c>
      <c r="T23" s="220">
        <f>T22/(T21+1E-144)*100</f>
        <v>9.8</v>
      </c>
      <c r="U23" s="212">
        <f t="shared" si="6"/>
        <v>0</v>
      </c>
      <c r="V23" s="212">
        <f t="shared" si="7"/>
        <v>0</v>
      </c>
      <c r="W23" s="211">
        <f t="shared" si="3"/>
        <v>-15.6</v>
      </c>
      <c r="X23" s="211"/>
      <c r="Y23" s="454"/>
      <c r="AA23" s="7"/>
      <c r="AB23" s="9"/>
    </row>
    <row r="24" spans="1:28" ht="16.5" customHeight="1">
      <c r="A24" s="51">
        <v>6</v>
      </c>
      <c r="B24" s="39" t="s">
        <v>6</v>
      </c>
      <c r="C24" s="52" t="s">
        <v>4</v>
      </c>
      <c r="D24" s="221"/>
      <c r="E24" s="227">
        <f>C218</f>
        <v>11804.5</v>
      </c>
      <c r="F24" s="202">
        <v>169799.6</v>
      </c>
      <c r="G24" s="255">
        <v>11166.29</v>
      </c>
      <c r="H24" s="146">
        <f>I24</f>
        <v>11166.29</v>
      </c>
      <c r="I24" s="146">
        <v>11166.29</v>
      </c>
      <c r="J24" s="146">
        <v>11166.29</v>
      </c>
      <c r="K24" s="107">
        <f t="shared" si="4"/>
        <v>0</v>
      </c>
      <c r="L24" s="255">
        <v>11166.29</v>
      </c>
      <c r="M24" s="89">
        <f t="shared" si="0"/>
        <v>0</v>
      </c>
      <c r="N24" s="228" t="e">
        <f>#REF!</f>
        <v>#REF!</v>
      </c>
      <c r="O24" s="88" t="e">
        <f>N24/(H24+1E-106)*100-100</f>
        <v>#REF!</v>
      </c>
      <c r="P24" s="89" t="e">
        <f>N24-L24</f>
        <v>#REF!</v>
      </c>
      <c r="Q24" s="86"/>
      <c r="R24" s="229">
        <f>H24</f>
        <v>11166.29</v>
      </c>
      <c r="S24" s="239">
        <f t="shared" si="5"/>
        <v>0</v>
      </c>
      <c r="T24" s="229">
        <f>R24</f>
        <v>11166.29</v>
      </c>
      <c r="U24" s="206">
        <f t="shared" si="6"/>
        <v>0</v>
      </c>
      <c r="V24" s="212">
        <f t="shared" si="7"/>
        <v>0</v>
      </c>
      <c r="W24" s="207">
        <f t="shared" si="3"/>
        <v>0</v>
      </c>
      <c r="X24" s="206"/>
      <c r="Y24" s="454"/>
      <c r="AA24" s="7"/>
      <c r="AB24" s="9"/>
    </row>
    <row r="25" spans="1:28" ht="12" customHeight="1">
      <c r="A25" s="51">
        <v>7</v>
      </c>
      <c r="B25" s="39" t="s">
        <v>7</v>
      </c>
      <c r="C25" s="31"/>
      <c r="D25" s="230"/>
      <c r="E25" s="231"/>
      <c r="F25" s="230"/>
      <c r="G25" s="231"/>
      <c r="H25" s="97"/>
      <c r="I25" s="97"/>
      <c r="J25" s="97"/>
      <c r="K25" s="107"/>
      <c r="L25" s="233"/>
      <c r="M25" s="90"/>
      <c r="N25" s="232"/>
      <c r="O25" s="90"/>
      <c r="P25" s="91"/>
      <c r="Q25" s="92"/>
      <c r="R25" s="234"/>
      <c r="S25" s="239"/>
      <c r="T25" s="234"/>
      <c r="U25" s="206"/>
      <c r="V25" s="212"/>
      <c r="W25" s="207"/>
      <c r="X25" s="211"/>
      <c r="Y25" s="216"/>
      <c r="AA25" s="7"/>
      <c r="AB25" s="9"/>
    </row>
    <row r="26" spans="1:28" ht="12" customHeight="1">
      <c r="A26" s="1" t="s">
        <v>62</v>
      </c>
      <c r="B26" s="39" t="s">
        <v>76</v>
      </c>
      <c r="C26" s="31"/>
      <c r="D26" s="230"/>
      <c r="E26" s="231"/>
      <c r="F26" s="230"/>
      <c r="G26" s="231"/>
      <c r="H26" s="97"/>
      <c r="I26" s="97"/>
      <c r="J26" s="97"/>
      <c r="K26" s="107"/>
      <c r="L26" s="233"/>
      <c r="M26" s="90"/>
      <c r="N26" s="232"/>
      <c r="O26" s="90"/>
      <c r="P26" s="91"/>
      <c r="Q26" s="92"/>
      <c r="R26" s="235"/>
      <c r="S26" s="239"/>
      <c r="T26" s="235"/>
      <c r="U26" s="206"/>
      <c r="V26" s="212"/>
      <c r="W26" s="207"/>
      <c r="X26" s="211"/>
      <c r="Y26" s="216"/>
      <c r="AA26" s="7"/>
      <c r="AB26" s="9"/>
    </row>
    <row r="27" spans="1:28" ht="12" customHeight="1">
      <c r="A27" s="1"/>
      <c r="B27" s="41" t="s">
        <v>49</v>
      </c>
      <c r="C27" s="31" t="s">
        <v>73</v>
      </c>
      <c r="D27" s="213"/>
      <c r="E27" s="225">
        <f>E29*1000*E28/(E10+1E-94)</f>
        <v>0</v>
      </c>
      <c r="F27" s="217">
        <v>163.3</v>
      </c>
      <c r="G27" s="219">
        <v>160.38</v>
      </c>
      <c r="H27" s="100">
        <f>I27</f>
        <v>160.38</v>
      </c>
      <c r="I27" s="100">
        <f>I29*I28/I9*1000</f>
        <v>160.38</v>
      </c>
      <c r="J27" s="100">
        <v>160.38</v>
      </c>
      <c r="K27" s="107">
        <f t="shared" si="4"/>
        <v>0</v>
      </c>
      <c r="L27" s="365">
        <f>G27</f>
        <v>160.38</v>
      </c>
      <c r="M27" s="236">
        <f>L27/(H27+1E-133)*100-100</f>
        <v>0</v>
      </c>
      <c r="N27" s="210"/>
      <c r="O27" s="236">
        <f>N27/(H27+1E-106)*100-100</f>
        <v>-100</v>
      </c>
      <c r="P27" s="236">
        <f>N27-L27</f>
        <v>-160.38</v>
      </c>
      <c r="Q27" s="237"/>
      <c r="R27" s="238">
        <f>H27</f>
        <v>160.38</v>
      </c>
      <c r="S27" s="239">
        <f t="shared" si="5"/>
        <v>0</v>
      </c>
      <c r="T27" s="238">
        <f>R27</f>
        <v>160.38</v>
      </c>
      <c r="U27" s="239">
        <f t="shared" si="6"/>
        <v>0</v>
      </c>
      <c r="V27" s="212">
        <f t="shared" si="7"/>
        <v>0</v>
      </c>
      <c r="W27" s="239">
        <f t="shared" si="3"/>
        <v>0</v>
      </c>
      <c r="X27" s="211"/>
      <c r="Y27" s="216"/>
      <c r="AA27" s="7"/>
      <c r="AB27" s="9"/>
    </row>
    <row r="28" spans="1:28" ht="12" customHeight="1">
      <c r="A28" s="1"/>
      <c r="B28" s="41" t="s">
        <v>93</v>
      </c>
      <c r="C28" s="42"/>
      <c r="D28" s="240"/>
      <c r="E28" s="241"/>
      <c r="F28" s="240">
        <v>1.129</v>
      </c>
      <c r="G28" s="387">
        <v>1.129</v>
      </c>
      <c r="H28" s="104">
        <v>1.129</v>
      </c>
      <c r="I28" s="104">
        <v>1.129</v>
      </c>
      <c r="J28" s="104">
        <v>1.129</v>
      </c>
      <c r="K28" s="107">
        <f t="shared" si="4"/>
        <v>0</v>
      </c>
      <c r="L28" s="367">
        <v>1.129</v>
      </c>
      <c r="M28" s="241">
        <f>L28/(H28+1E-133)*100-100</f>
        <v>0</v>
      </c>
      <c r="N28" s="242"/>
      <c r="O28" s="241"/>
      <c r="P28" s="241"/>
      <c r="Q28" s="243"/>
      <c r="R28" s="244">
        <f>H28</f>
        <v>1.129</v>
      </c>
      <c r="S28" s="239">
        <f t="shared" si="5"/>
        <v>0</v>
      </c>
      <c r="T28" s="244">
        <f>R28</f>
        <v>1.129</v>
      </c>
      <c r="U28" s="239">
        <f t="shared" si="6"/>
        <v>0</v>
      </c>
      <c r="V28" s="212">
        <f t="shared" si="7"/>
        <v>0</v>
      </c>
      <c r="W28" s="239">
        <f t="shared" si="3"/>
        <v>0</v>
      </c>
      <c r="X28" s="245"/>
      <c r="Y28" s="246"/>
      <c r="AA28" s="7"/>
      <c r="AB28" s="9"/>
    </row>
    <row r="29" spans="1:28" ht="12" customHeight="1">
      <c r="A29" s="1"/>
      <c r="B29" s="40" t="s">
        <v>50</v>
      </c>
      <c r="C29" s="31" t="s">
        <v>80</v>
      </c>
      <c r="D29" s="217">
        <f>D27/(D28+1E-97)*D10/1000</f>
        <v>0</v>
      </c>
      <c r="E29" s="215"/>
      <c r="F29" s="214">
        <v>26999.9</v>
      </c>
      <c r="G29" s="386">
        <v>2320</v>
      </c>
      <c r="H29" s="238">
        <f>H27/(H28+1E-97)*H10/1000</f>
        <v>1813.03</v>
      </c>
      <c r="I29" s="238">
        <v>2320</v>
      </c>
      <c r="J29" s="238">
        <v>1813.03</v>
      </c>
      <c r="K29" s="107">
        <f t="shared" si="4"/>
        <v>0</v>
      </c>
      <c r="L29" s="368">
        <f>L27/(L28+1E-97)*L10/1000</f>
        <v>2320.04</v>
      </c>
      <c r="M29" s="236">
        <f>L29/(H29+1E-133)*100-100</f>
        <v>27.96</v>
      </c>
      <c r="N29" s="220">
        <f>N27/(N28+1E-97)*N10/1000</f>
        <v>0</v>
      </c>
      <c r="O29" s="236">
        <f>N29/(H29+1E-106)*100-100</f>
        <v>-100</v>
      </c>
      <c r="P29" s="236">
        <f>N29-L29</f>
        <v>-2320.04</v>
      </c>
      <c r="Q29" s="237"/>
      <c r="R29" s="238">
        <f>R27/(R28+1E-97)*R10/1000</f>
        <v>1813.03</v>
      </c>
      <c r="S29" s="239">
        <f t="shared" si="5"/>
        <v>0</v>
      </c>
      <c r="T29" s="238">
        <f>T27/(T28+1E-97)*T10/1000</f>
        <v>1813.03</v>
      </c>
      <c r="U29" s="239">
        <f t="shared" si="6"/>
        <v>0</v>
      </c>
      <c r="V29" s="212">
        <f t="shared" si="7"/>
        <v>0</v>
      </c>
      <c r="W29" s="239">
        <f t="shared" si="3"/>
        <v>-507.01</v>
      </c>
      <c r="X29" s="245"/>
      <c r="Y29" s="522" t="s">
        <v>242</v>
      </c>
      <c r="AA29" s="7"/>
      <c r="AB29" s="9"/>
    </row>
    <row r="30" spans="1:28" s="250" customFormat="1" ht="12" customHeight="1">
      <c r="A30" s="51"/>
      <c r="B30" s="39" t="s">
        <v>30</v>
      </c>
      <c r="C30" s="52" t="s">
        <v>81</v>
      </c>
      <c r="D30" s="247"/>
      <c r="E30" s="248">
        <f>E133/(E29+1E-103)*1000</f>
        <v>0</v>
      </c>
      <c r="F30" s="204">
        <v>2999.62</v>
      </c>
      <c r="G30" s="255">
        <v>3074.47</v>
      </c>
      <c r="H30" s="126">
        <f>(386.97+2637+50.5)</f>
        <v>3074.47</v>
      </c>
      <c r="I30" s="126">
        <f>(386.97+2637+50.5)</f>
        <v>3074.47</v>
      </c>
      <c r="J30" s="126">
        <f>1.18*3074.47</f>
        <v>3627.87</v>
      </c>
      <c r="K30" s="107">
        <f t="shared" si="4"/>
        <v>18</v>
      </c>
      <c r="L30" s="144">
        <f>(386.97+2637+50.5)*1.15*1.18</f>
        <v>4172.06</v>
      </c>
      <c r="M30" s="249">
        <f>L30/(H30+1E-133)*100-100</f>
        <v>35.7</v>
      </c>
      <c r="N30" s="247"/>
      <c r="O30" s="249">
        <f>N30/(H30+1E-106)*100-100</f>
        <v>-100</v>
      </c>
      <c r="P30" s="249">
        <f>N30-L30</f>
        <v>-4172.06</v>
      </c>
      <c r="Q30" s="248"/>
      <c r="R30" s="229">
        <v>4019.29</v>
      </c>
      <c r="S30" s="239">
        <f t="shared" si="5"/>
        <v>30.73</v>
      </c>
      <c r="T30" s="126">
        <f>(386.97+2637+50.5)*1.15*1.18</f>
        <v>4172.06</v>
      </c>
      <c r="U30" s="205">
        <f t="shared" si="6"/>
        <v>3.8</v>
      </c>
      <c r="V30" s="212">
        <f t="shared" si="7"/>
        <v>35.7</v>
      </c>
      <c r="W30" s="205">
        <f t="shared" si="3"/>
        <v>0</v>
      </c>
      <c r="X30" s="207"/>
      <c r="Y30" s="523"/>
      <c r="AB30" s="251"/>
    </row>
    <row r="31" spans="1:28" s="394" customFormat="1" ht="12" customHeight="1">
      <c r="A31" s="1"/>
      <c r="B31" s="43" t="s">
        <v>77</v>
      </c>
      <c r="C31" s="31" t="s">
        <v>81</v>
      </c>
      <c r="D31" s="214"/>
      <c r="E31" s="215"/>
      <c r="F31" s="214">
        <v>321.9</v>
      </c>
      <c r="G31" s="386">
        <v>386.97</v>
      </c>
      <c r="H31" s="98">
        <f>(386.97)</f>
        <v>386.97</v>
      </c>
      <c r="I31" s="98">
        <f>H31</f>
        <v>386.97</v>
      </c>
      <c r="J31" s="98">
        <f>H31*1.18</f>
        <v>456.62</v>
      </c>
      <c r="K31" s="107">
        <f t="shared" si="4"/>
        <v>18</v>
      </c>
      <c r="L31" s="252">
        <f>T31</f>
        <v>456.62</v>
      </c>
      <c r="M31" s="236">
        <f>L31/(H31+1E-133)*100-100</f>
        <v>18</v>
      </c>
      <c r="N31" s="213"/>
      <c r="O31" s="236">
        <f>N31/(H31+1E-106)*100-100</f>
        <v>-100</v>
      </c>
      <c r="P31" s="236">
        <f>N31-L31</f>
        <v>-456.62</v>
      </c>
      <c r="Q31" s="237"/>
      <c r="R31" s="238">
        <f>J31</f>
        <v>456.62</v>
      </c>
      <c r="S31" s="239">
        <f t="shared" si="5"/>
        <v>18</v>
      </c>
      <c r="T31" s="238">
        <f>R31</f>
        <v>456.62</v>
      </c>
      <c r="U31" s="239">
        <f t="shared" si="6"/>
        <v>0</v>
      </c>
      <c r="V31" s="212">
        <f t="shared" si="7"/>
        <v>18</v>
      </c>
      <c r="W31" s="239">
        <f t="shared" si="3"/>
        <v>0</v>
      </c>
      <c r="X31" s="211"/>
      <c r="Y31" s="548"/>
      <c r="AB31" s="451"/>
    </row>
    <row r="32" spans="1:28" ht="12" customHeight="1" hidden="1">
      <c r="A32" s="1" t="s">
        <v>62</v>
      </c>
      <c r="B32" s="39" t="s">
        <v>75</v>
      </c>
      <c r="C32" s="31"/>
      <c r="D32" s="217"/>
      <c r="E32" s="218"/>
      <c r="F32" s="217"/>
      <c r="G32" s="218"/>
      <c r="H32" s="94"/>
      <c r="I32" s="94"/>
      <c r="J32" s="94"/>
      <c r="K32" s="107" t="e">
        <f t="shared" si="4"/>
        <v>#DIV/0!</v>
      </c>
      <c r="L32" s="226"/>
      <c r="M32" s="236"/>
      <c r="N32" s="220"/>
      <c r="O32" s="236"/>
      <c r="P32" s="236"/>
      <c r="Q32" s="237"/>
      <c r="R32" s="238"/>
      <c r="S32" s="239">
        <f t="shared" si="5"/>
        <v>-100</v>
      </c>
      <c r="T32" s="238"/>
      <c r="U32" s="239"/>
      <c r="V32" s="212">
        <f t="shared" si="7"/>
        <v>-100</v>
      </c>
      <c r="W32" s="239"/>
      <c r="X32" s="211"/>
      <c r="Y32" s="161"/>
      <c r="AA32" s="7"/>
      <c r="AB32" s="9"/>
    </row>
    <row r="33" spans="1:28" ht="12" customHeight="1" hidden="1">
      <c r="A33" s="1"/>
      <c r="B33" s="41" t="s">
        <v>49</v>
      </c>
      <c r="C33" s="31" t="s">
        <v>73</v>
      </c>
      <c r="D33" s="214"/>
      <c r="E33" s="225">
        <f>E35*1000*E34/(E11+1E-99)</f>
        <v>0</v>
      </c>
      <c r="F33" s="217">
        <v>220</v>
      </c>
      <c r="G33" s="218"/>
      <c r="H33" s="358">
        <v>0</v>
      </c>
      <c r="I33" s="358"/>
      <c r="J33" s="358">
        <v>0</v>
      </c>
      <c r="K33" s="107" t="e">
        <f t="shared" si="4"/>
        <v>#DIV/0!</v>
      </c>
      <c r="L33" s="365"/>
      <c r="M33" s="236">
        <f>L33/(H33+1E-133)*100-100</f>
        <v>-100</v>
      </c>
      <c r="N33" s="213"/>
      <c r="O33" s="236">
        <f>N33/(H33+1E-106)*100-100</f>
        <v>-100</v>
      </c>
      <c r="P33" s="236">
        <f>N33-L33</f>
        <v>0</v>
      </c>
      <c r="Q33" s="237"/>
      <c r="R33" s="238"/>
      <c r="S33" s="239">
        <f t="shared" si="5"/>
        <v>-100</v>
      </c>
      <c r="T33" s="238"/>
      <c r="U33" s="239">
        <f t="shared" si="6"/>
        <v>-100</v>
      </c>
      <c r="V33" s="212">
        <f t="shared" si="7"/>
        <v>-100</v>
      </c>
      <c r="W33" s="239">
        <f t="shared" si="3"/>
        <v>0</v>
      </c>
      <c r="X33" s="211"/>
      <c r="Y33" s="161"/>
      <c r="AA33" s="7"/>
      <c r="AB33" s="9"/>
    </row>
    <row r="34" spans="1:28" ht="12" customHeight="1" hidden="1">
      <c r="A34" s="1"/>
      <c r="B34" s="41" t="s">
        <v>93</v>
      </c>
      <c r="C34" s="31"/>
      <c r="D34" s="214"/>
      <c r="E34" s="215"/>
      <c r="F34" s="214">
        <v>0.61</v>
      </c>
      <c r="G34" s="386"/>
      <c r="H34" s="102"/>
      <c r="I34" s="102"/>
      <c r="J34" s="102"/>
      <c r="K34" s="107" t="e">
        <f t="shared" si="4"/>
        <v>#DIV/0!</v>
      </c>
      <c r="L34" s="365"/>
      <c r="M34" s="236"/>
      <c r="N34" s="213"/>
      <c r="O34" s="236"/>
      <c r="P34" s="236"/>
      <c r="Q34" s="237"/>
      <c r="R34" s="238"/>
      <c r="S34" s="239">
        <f t="shared" si="5"/>
        <v>-100</v>
      </c>
      <c r="T34" s="238"/>
      <c r="U34" s="239">
        <f t="shared" si="6"/>
        <v>-100</v>
      </c>
      <c r="V34" s="212">
        <f t="shared" si="7"/>
        <v>-100</v>
      </c>
      <c r="W34" s="239">
        <f t="shared" si="3"/>
        <v>0</v>
      </c>
      <c r="X34" s="211"/>
      <c r="Y34" s="161"/>
      <c r="AA34" s="7"/>
      <c r="AB34" s="9"/>
    </row>
    <row r="35" spans="1:28" ht="12" customHeight="1" hidden="1">
      <c r="A35" s="1"/>
      <c r="B35" s="40" t="s">
        <v>50</v>
      </c>
      <c r="C35" s="31" t="s">
        <v>79</v>
      </c>
      <c r="D35" s="217">
        <f>D33/(D34+1E-100)*D11/1000</f>
        <v>0</v>
      </c>
      <c r="E35" s="215"/>
      <c r="F35" s="214">
        <v>2565.7</v>
      </c>
      <c r="G35" s="386"/>
      <c r="H35" s="94">
        <v>0</v>
      </c>
      <c r="I35" s="94"/>
      <c r="J35" s="94">
        <v>0</v>
      </c>
      <c r="K35" s="107" t="e">
        <f t="shared" si="4"/>
        <v>#DIV/0!</v>
      </c>
      <c r="L35" s="226">
        <v>0</v>
      </c>
      <c r="M35" s="236">
        <f>L35/(H35+1E-133)*100-100</f>
        <v>-100</v>
      </c>
      <c r="N35" s="220">
        <f>N33/(N34+1E-100)*N11/1000</f>
        <v>0</v>
      </c>
      <c r="O35" s="236">
        <f>N35/(H35+1E-106)*100-100</f>
        <v>-100</v>
      </c>
      <c r="P35" s="236">
        <f>N35-L35</f>
        <v>0</v>
      </c>
      <c r="Q35" s="237"/>
      <c r="R35" s="238">
        <f>R33/(R34+1E-100)*R11/1000</f>
        <v>0</v>
      </c>
      <c r="S35" s="239">
        <f t="shared" si="5"/>
        <v>-100</v>
      </c>
      <c r="T35" s="238">
        <f>T33/(T34+1E-100)*T11/1000</f>
        <v>0</v>
      </c>
      <c r="U35" s="239">
        <f t="shared" si="6"/>
        <v>-100</v>
      </c>
      <c r="V35" s="212">
        <f t="shared" si="7"/>
        <v>-100</v>
      </c>
      <c r="W35" s="239">
        <f t="shared" si="3"/>
        <v>0</v>
      </c>
      <c r="X35" s="211"/>
      <c r="Y35" s="161"/>
      <c r="AA35" s="7"/>
      <c r="AB35" s="9"/>
    </row>
    <row r="36" spans="1:28" s="250" customFormat="1" ht="12" customHeight="1" hidden="1">
      <c r="A36" s="51"/>
      <c r="B36" s="39" t="s">
        <v>30</v>
      </c>
      <c r="C36" s="52" t="s">
        <v>78</v>
      </c>
      <c r="D36" s="247"/>
      <c r="E36" s="248">
        <f>E134/(E35+1E-102)*1000</f>
        <v>0</v>
      </c>
      <c r="F36" s="204">
        <v>3216.1</v>
      </c>
      <c r="G36" s="255"/>
      <c r="H36" s="98"/>
      <c r="I36" s="98"/>
      <c r="J36" s="98"/>
      <c r="K36" s="107" t="e">
        <f t="shared" si="4"/>
        <v>#DIV/0!</v>
      </c>
      <c r="L36" s="365"/>
      <c r="M36" s="249">
        <f>L36/(H36+1E-133)*100-100</f>
        <v>-100</v>
      </c>
      <c r="N36" s="247"/>
      <c r="O36" s="249">
        <f>N36/(H36+1E-106)*100-100</f>
        <v>-100</v>
      </c>
      <c r="P36" s="249">
        <f>N36-L36</f>
        <v>0</v>
      </c>
      <c r="Q36" s="248"/>
      <c r="R36" s="229"/>
      <c r="S36" s="239">
        <f t="shared" si="5"/>
        <v>-100</v>
      </c>
      <c r="T36" s="229"/>
      <c r="U36" s="205">
        <f t="shared" si="6"/>
        <v>-100</v>
      </c>
      <c r="V36" s="212">
        <f t="shared" si="7"/>
        <v>-100</v>
      </c>
      <c r="W36" s="205">
        <f t="shared" si="3"/>
        <v>0</v>
      </c>
      <c r="X36" s="207"/>
      <c r="Y36" s="254"/>
      <c r="AB36" s="251"/>
    </row>
    <row r="37" spans="1:28" ht="12" customHeight="1" hidden="1">
      <c r="A37" s="1"/>
      <c r="B37" s="43" t="s">
        <v>77</v>
      </c>
      <c r="C37" s="31" t="s">
        <v>78</v>
      </c>
      <c r="D37" s="214"/>
      <c r="E37" s="215"/>
      <c r="F37" s="214"/>
      <c r="G37" s="386"/>
      <c r="H37" s="98"/>
      <c r="I37" s="98"/>
      <c r="J37" s="98"/>
      <c r="K37" s="107" t="e">
        <f t="shared" si="4"/>
        <v>#DIV/0!</v>
      </c>
      <c r="L37" s="365"/>
      <c r="M37" s="236">
        <f>L37/(H37+1E-133)*100-100</f>
        <v>-100</v>
      </c>
      <c r="N37" s="213"/>
      <c r="O37" s="236">
        <f>N37/(H37+1E-106)*100-100</f>
        <v>-100</v>
      </c>
      <c r="P37" s="236">
        <f>N37-L37</f>
        <v>0</v>
      </c>
      <c r="Q37" s="237"/>
      <c r="R37" s="238"/>
      <c r="S37" s="239">
        <f t="shared" si="5"/>
        <v>-100</v>
      </c>
      <c r="T37" s="238"/>
      <c r="U37" s="239">
        <f t="shared" si="6"/>
        <v>-100</v>
      </c>
      <c r="V37" s="212">
        <f t="shared" si="7"/>
        <v>-100</v>
      </c>
      <c r="W37" s="239">
        <f t="shared" si="3"/>
        <v>0</v>
      </c>
      <c r="X37" s="211"/>
      <c r="Y37" s="161"/>
      <c r="AA37" s="7"/>
      <c r="AB37" s="9"/>
    </row>
    <row r="38" spans="1:28" ht="12" customHeight="1" hidden="1">
      <c r="A38" s="1" t="s">
        <v>62</v>
      </c>
      <c r="B38" s="39" t="s">
        <v>82</v>
      </c>
      <c r="C38" s="31"/>
      <c r="D38" s="217"/>
      <c r="E38" s="218"/>
      <c r="F38" s="217"/>
      <c r="G38" s="218"/>
      <c r="H38" s="94"/>
      <c r="I38" s="94"/>
      <c r="J38" s="94"/>
      <c r="K38" s="107" t="e">
        <f t="shared" si="4"/>
        <v>#DIV/0!</v>
      </c>
      <c r="L38" s="226"/>
      <c r="M38" s="236"/>
      <c r="N38" s="220"/>
      <c r="O38" s="236"/>
      <c r="P38" s="236"/>
      <c r="Q38" s="237"/>
      <c r="R38" s="238"/>
      <c r="S38" s="239">
        <f t="shared" si="5"/>
        <v>-100</v>
      </c>
      <c r="T38" s="238"/>
      <c r="U38" s="239"/>
      <c r="V38" s="212">
        <f t="shared" si="7"/>
        <v>-100</v>
      </c>
      <c r="W38" s="239"/>
      <c r="X38" s="211"/>
      <c r="Y38" s="161"/>
      <c r="AA38" s="7"/>
      <c r="AB38" s="9"/>
    </row>
    <row r="39" spans="1:28" ht="12" customHeight="1" hidden="1">
      <c r="A39" s="1"/>
      <c r="B39" s="41" t="s">
        <v>49</v>
      </c>
      <c r="C39" s="31" t="s">
        <v>73</v>
      </c>
      <c r="D39" s="214"/>
      <c r="E39" s="225">
        <f>E41*1000*E40/(E12+1E-97)</f>
        <v>0</v>
      </c>
      <c r="F39" s="217"/>
      <c r="G39" s="218"/>
      <c r="H39" s="98"/>
      <c r="I39" s="98"/>
      <c r="J39" s="98"/>
      <c r="K39" s="107" t="e">
        <f t="shared" si="4"/>
        <v>#DIV/0!</v>
      </c>
      <c r="L39" s="365"/>
      <c r="M39" s="236">
        <f>L39/(H39+1E-133)*100-100</f>
        <v>-100</v>
      </c>
      <c r="N39" s="213"/>
      <c r="O39" s="236">
        <f>N39/(H39+1E-106)*100-100</f>
        <v>-100</v>
      </c>
      <c r="P39" s="236">
        <f>N39-L39</f>
        <v>0</v>
      </c>
      <c r="Q39" s="237"/>
      <c r="R39" s="238"/>
      <c r="S39" s="239">
        <f t="shared" si="5"/>
        <v>-100</v>
      </c>
      <c r="T39" s="238"/>
      <c r="U39" s="239">
        <f t="shared" si="6"/>
        <v>-100</v>
      </c>
      <c r="V39" s="212">
        <f t="shared" si="7"/>
        <v>-100</v>
      </c>
      <c r="W39" s="239">
        <f t="shared" si="3"/>
        <v>0</v>
      </c>
      <c r="X39" s="211"/>
      <c r="Y39" s="161"/>
      <c r="AA39" s="7"/>
      <c r="AB39" s="9"/>
    </row>
    <row r="40" spans="1:28" ht="12" customHeight="1" hidden="1">
      <c r="A40" s="1"/>
      <c r="B40" s="41" t="s">
        <v>93</v>
      </c>
      <c r="C40" s="31"/>
      <c r="D40" s="214"/>
      <c r="E40" s="215"/>
      <c r="F40" s="214"/>
      <c r="G40" s="386"/>
      <c r="H40" s="102"/>
      <c r="I40" s="102"/>
      <c r="J40" s="102"/>
      <c r="K40" s="107" t="e">
        <f t="shared" si="4"/>
        <v>#DIV/0!</v>
      </c>
      <c r="L40" s="365"/>
      <c r="M40" s="236"/>
      <c r="N40" s="213"/>
      <c r="O40" s="236"/>
      <c r="P40" s="236"/>
      <c r="Q40" s="237"/>
      <c r="R40" s="238"/>
      <c r="S40" s="239">
        <f t="shared" si="5"/>
        <v>-100</v>
      </c>
      <c r="T40" s="238"/>
      <c r="U40" s="239">
        <f t="shared" si="6"/>
        <v>-100</v>
      </c>
      <c r="V40" s="212">
        <f t="shared" si="7"/>
        <v>-100</v>
      </c>
      <c r="W40" s="239">
        <f t="shared" si="3"/>
        <v>0</v>
      </c>
      <c r="X40" s="211"/>
      <c r="Y40" s="161"/>
      <c r="AA40" s="7"/>
      <c r="AB40" s="9"/>
    </row>
    <row r="41" spans="1:28" ht="12" customHeight="1" hidden="1">
      <c r="A41" s="1"/>
      <c r="B41" s="40" t="s">
        <v>50</v>
      </c>
      <c r="C41" s="31" t="s">
        <v>79</v>
      </c>
      <c r="D41" s="217">
        <f>D39/(D40+1E-102)*D12/1000</f>
        <v>0</v>
      </c>
      <c r="E41" s="215"/>
      <c r="F41" s="214">
        <v>0</v>
      </c>
      <c r="G41" s="386"/>
      <c r="H41" s="105">
        <v>0</v>
      </c>
      <c r="I41" s="105"/>
      <c r="J41" s="105">
        <v>0</v>
      </c>
      <c r="K41" s="107" t="e">
        <f t="shared" si="4"/>
        <v>#DIV/0!</v>
      </c>
      <c r="L41" s="226">
        <v>0</v>
      </c>
      <c r="M41" s="236">
        <f>L41/(H41+1E-133)*100-100</f>
        <v>-100</v>
      </c>
      <c r="N41" s="220">
        <f>N39/(N40+1E-102)*N12/1000</f>
        <v>0</v>
      </c>
      <c r="O41" s="236">
        <f>N41/(H41+1E-106)*100-100</f>
        <v>-100</v>
      </c>
      <c r="P41" s="236">
        <f>N41-L41</f>
        <v>0</v>
      </c>
      <c r="Q41" s="237"/>
      <c r="R41" s="238">
        <f>R39/(R40+1E-102)*R12/1000</f>
        <v>0</v>
      </c>
      <c r="S41" s="239">
        <f t="shared" si="5"/>
        <v>-100</v>
      </c>
      <c r="T41" s="238">
        <f>T39/(T40+1E-102)*T12/1000</f>
        <v>0</v>
      </c>
      <c r="U41" s="239">
        <f t="shared" si="6"/>
        <v>-100</v>
      </c>
      <c r="V41" s="212">
        <f t="shared" si="7"/>
        <v>-100</v>
      </c>
      <c r="W41" s="239">
        <f t="shared" si="3"/>
        <v>0</v>
      </c>
      <c r="X41" s="211"/>
      <c r="Y41" s="161"/>
      <c r="AA41" s="7"/>
      <c r="AB41" s="9"/>
    </row>
    <row r="42" spans="1:28" s="250" customFormat="1" ht="12" customHeight="1" hidden="1">
      <c r="A42" s="51"/>
      <c r="B42" s="39" t="s">
        <v>30</v>
      </c>
      <c r="C42" s="52" t="s">
        <v>78</v>
      </c>
      <c r="D42" s="247"/>
      <c r="E42" s="248">
        <f>E135/(E41+1E-103)*1000</f>
        <v>0</v>
      </c>
      <c r="F42" s="204"/>
      <c r="G42" s="255"/>
      <c r="H42" s="98"/>
      <c r="I42" s="98"/>
      <c r="J42" s="98"/>
      <c r="K42" s="107" t="e">
        <f t="shared" si="4"/>
        <v>#DIV/0!</v>
      </c>
      <c r="L42" s="365"/>
      <c r="M42" s="249">
        <f>L42/(H42+1E-133)*100-100</f>
        <v>-100</v>
      </c>
      <c r="N42" s="247"/>
      <c r="O42" s="249">
        <f>N42/(H42+1E-106)*100-100</f>
        <v>-100</v>
      </c>
      <c r="P42" s="249">
        <f>N42-L42</f>
        <v>0</v>
      </c>
      <c r="Q42" s="248"/>
      <c r="R42" s="229"/>
      <c r="S42" s="239">
        <f t="shared" si="5"/>
        <v>-100</v>
      </c>
      <c r="T42" s="229"/>
      <c r="U42" s="205">
        <f t="shared" si="6"/>
        <v>-100</v>
      </c>
      <c r="V42" s="212">
        <f t="shared" si="7"/>
        <v>-100</v>
      </c>
      <c r="W42" s="205">
        <f t="shared" si="3"/>
        <v>0</v>
      </c>
      <c r="X42" s="207"/>
      <c r="Y42" s="254"/>
      <c r="AB42" s="251"/>
    </row>
    <row r="43" spans="1:28" ht="12" customHeight="1" hidden="1">
      <c r="A43" s="1"/>
      <c r="B43" s="43" t="s">
        <v>77</v>
      </c>
      <c r="C43" s="31" t="s">
        <v>78</v>
      </c>
      <c r="D43" s="214"/>
      <c r="E43" s="215"/>
      <c r="F43" s="214"/>
      <c r="G43" s="386"/>
      <c r="H43" s="98"/>
      <c r="I43" s="98"/>
      <c r="J43" s="98"/>
      <c r="K43" s="107" t="e">
        <f t="shared" si="4"/>
        <v>#DIV/0!</v>
      </c>
      <c r="L43" s="365"/>
      <c r="M43" s="236">
        <f>L43/(H43+1E-133)*100-100</f>
        <v>-100</v>
      </c>
      <c r="N43" s="213"/>
      <c r="O43" s="236">
        <f>N43/(H43+1E-106)*100-100</f>
        <v>-100</v>
      </c>
      <c r="P43" s="236">
        <f>N43-L43</f>
        <v>0</v>
      </c>
      <c r="Q43" s="237"/>
      <c r="R43" s="238"/>
      <c r="S43" s="239">
        <f t="shared" si="5"/>
        <v>-100</v>
      </c>
      <c r="T43" s="238"/>
      <c r="U43" s="239">
        <f t="shared" si="6"/>
        <v>-100</v>
      </c>
      <c r="V43" s="212">
        <f t="shared" si="7"/>
        <v>-100</v>
      </c>
      <c r="W43" s="239">
        <f t="shared" si="3"/>
        <v>0</v>
      </c>
      <c r="X43" s="211"/>
      <c r="Y43" s="161"/>
      <c r="AA43" s="7"/>
      <c r="AB43" s="9"/>
    </row>
    <row r="44" spans="1:28" ht="12" customHeight="1" hidden="1">
      <c r="A44" s="1" t="s">
        <v>62</v>
      </c>
      <c r="B44" s="39" t="s">
        <v>84</v>
      </c>
      <c r="C44" s="31"/>
      <c r="D44" s="217"/>
      <c r="E44" s="218"/>
      <c r="F44" s="217"/>
      <c r="G44" s="218"/>
      <c r="H44" s="94"/>
      <c r="I44" s="94"/>
      <c r="J44" s="94"/>
      <c r="K44" s="107" t="e">
        <f t="shared" si="4"/>
        <v>#DIV/0!</v>
      </c>
      <c r="L44" s="226"/>
      <c r="M44" s="236"/>
      <c r="N44" s="220"/>
      <c r="O44" s="236"/>
      <c r="P44" s="236"/>
      <c r="Q44" s="237"/>
      <c r="R44" s="238"/>
      <c r="S44" s="239">
        <f t="shared" si="5"/>
        <v>-100</v>
      </c>
      <c r="T44" s="238"/>
      <c r="U44" s="239"/>
      <c r="V44" s="212">
        <f t="shared" si="7"/>
        <v>-100</v>
      </c>
      <c r="W44" s="239"/>
      <c r="X44" s="211"/>
      <c r="Y44" s="161"/>
      <c r="AA44" s="7"/>
      <c r="AB44" s="9"/>
    </row>
    <row r="45" spans="1:28" ht="12" customHeight="1" hidden="1">
      <c r="A45" s="1"/>
      <c r="B45" s="41" t="s">
        <v>49</v>
      </c>
      <c r="C45" s="31" t="s">
        <v>73</v>
      </c>
      <c r="D45" s="214"/>
      <c r="E45" s="225">
        <f>E47*1000*E46/(E13+1E-99)</f>
        <v>0</v>
      </c>
      <c r="F45" s="217">
        <v>155</v>
      </c>
      <c r="G45" s="218"/>
      <c r="H45" s="98"/>
      <c r="I45" s="98"/>
      <c r="J45" s="98"/>
      <c r="K45" s="107" t="e">
        <f t="shared" si="4"/>
        <v>#DIV/0!</v>
      </c>
      <c r="L45" s="365"/>
      <c r="M45" s="236">
        <f>L45/(H45+1E-133)*100-100</f>
        <v>-100</v>
      </c>
      <c r="N45" s="213"/>
      <c r="O45" s="236">
        <f>N45/(H45+1E-106)*100-100</f>
        <v>-100</v>
      </c>
      <c r="P45" s="236">
        <f>N45-L45</f>
        <v>0</v>
      </c>
      <c r="Q45" s="237"/>
      <c r="R45" s="238"/>
      <c r="S45" s="239">
        <f t="shared" si="5"/>
        <v>-100</v>
      </c>
      <c r="T45" s="238"/>
      <c r="U45" s="239">
        <f t="shared" si="6"/>
        <v>-100</v>
      </c>
      <c r="V45" s="212">
        <f t="shared" si="7"/>
        <v>-100</v>
      </c>
      <c r="W45" s="239">
        <f t="shared" si="3"/>
        <v>0</v>
      </c>
      <c r="X45" s="211"/>
      <c r="Y45" s="161"/>
      <c r="AA45" s="7"/>
      <c r="AB45" s="9"/>
    </row>
    <row r="46" spans="1:28" ht="12" customHeight="1" hidden="1">
      <c r="A46" s="1"/>
      <c r="B46" s="41" t="s">
        <v>93</v>
      </c>
      <c r="C46" s="31"/>
      <c r="D46" s="214"/>
      <c r="E46" s="215"/>
      <c r="F46" s="214">
        <v>1.5</v>
      </c>
      <c r="G46" s="386"/>
      <c r="H46" s="102"/>
      <c r="I46" s="102"/>
      <c r="J46" s="102"/>
      <c r="K46" s="107" t="e">
        <f t="shared" si="4"/>
        <v>#DIV/0!</v>
      </c>
      <c r="L46" s="365"/>
      <c r="M46" s="236"/>
      <c r="N46" s="213"/>
      <c r="O46" s="236"/>
      <c r="P46" s="236"/>
      <c r="Q46" s="237"/>
      <c r="R46" s="238"/>
      <c r="S46" s="239">
        <f t="shared" si="5"/>
        <v>-100</v>
      </c>
      <c r="T46" s="238"/>
      <c r="U46" s="239">
        <f t="shared" si="6"/>
        <v>-100</v>
      </c>
      <c r="V46" s="212">
        <f t="shared" si="7"/>
        <v>-100</v>
      </c>
      <c r="W46" s="239">
        <f t="shared" si="3"/>
        <v>0</v>
      </c>
      <c r="X46" s="211"/>
      <c r="Y46" s="161"/>
      <c r="AA46" s="7"/>
      <c r="AB46" s="9"/>
    </row>
    <row r="47" spans="1:28" ht="12" customHeight="1" hidden="1">
      <c r="A47" s="1"/>
      <c r="B47" s="40" t="s">
        <v>50</v>
      </c>
      <c r="C47" s="31" t="s">
        <v>79</v>
      </c>
      <c r="D47" s="217">
        <f>D45/(D46+1E-105)*D13/1000</f>
        <v>0</v>
      </c>
      <c r="E47" s="215"/>
      <c r="F47" s="214">
        <v>41.1</v>
      </c>
      <c r="G47" s="386"/>
      <c r="H47" s="105">
        <v>0</v>
      </c>
      <c r="I47" s="105"/>
      <c r="J47" s="105">
        <v>0</v>
      </c>
      <c r="K47" s="107" t="e">
        <f t="shared" si="4"/>
        <v>#DIV/0!</v>
      </c>
      <c r="L47" s="226">
        <v>0</v>
      </c>
      <c r="M47" s="236">
        <f>L47/(H47+1E-133)*100-100</f>
        <v>-100</v>
      </c>
      <c r="N47" s="220">
        <f>N45/(N46+1E-105)*N13/1000</f>
        <v>0</v>
      </c>
      <c r="O47" s="236">
        <f>N47/(H47+1E-106)*100-100</f>
        <v>-100</v>
      </c>
      <c r="P47" s="236">
        <f>N47-L47</f>
        <v>0</v>
      </c>
      <c r="Q47" s="237"/>
      <c r="R47" s="238">
        <f>R45/(R46+1E-105)*R13/1000</f>
        <v>0</v>
      </c>
      <c r="S47" s="239">
        <f t="shared" si="5"/>
        <v>-100</v>
      </c>
      <c r="T47" s="238">
        <f>T45/(T46+1E-105)*T13/1000</f>
        <v>0</v>
      </c>
      <c r="U47" s="239">
        <f t="shared" si="6"/>
        <v>-100</v>
      </c>
      <c r="V47" s="212">
        <f t="shared" si="7"/>
        <v>-100</v>
      </c>
      <c r="W47" s="239">
        <f t="shared" si="3"/>
        <v>0</v>
      </c>
      <c r="X47" s="211"/>
      <c r="Y47" s="161"/>
      <c r="AA47" s="7"/>
      <c r="AB47" s="9"/>
    </row>
    <row r="48" spans="1:28" s="250" customFormat="1" ht="12" customHeight="1" hidden="1">
      <c r="A48" s="51"/>
      <c r="B48" s="39" t="s">
        <v>30</v>
      </c>
      <c r="C48" s="52" t="s">
        <v>78</v>
      </c>
      <c r="D48" s="247"/>
      <c r="E48" s="248">
        <f>E136/(E47+1E-102)*1000</f>
        <v>0</v>
      </c>
      <c r="F48" s="204">
        <v>21572.99</v>
      </c>
      <c r="G48" s="255"/>
      <c r="H48" s="98"/>
      <c r="I48" s="98"/>
      <c r="J48" s="98"/>
      <c r="K48" s="107" t="e">
        <f t="shared" si="4"/>
        <v>#DIV/0!</v>
      </c>
      <c r="L48" s="365"/>
      <c r="M48" s="249">
        <f>L48/(H48+1E-133)*100-100</f>
        <v>-100</v>
      </c>
      <c r="N48" s="247"/>
      <c r="O48" s="249">
        <f>N48/(H48+1E-106)*100-100</f>
        <v>-100</v>
      </c>
      <c r="P48" s="249">
        <f>N48-L48</f>
        <v>0</v>
      </c>
      <c r="Q48" s="248"/>
      <c r="R48" s="229"/>
      <c r="S48" s="239">
        <f t="shared" si="5"/>
        <v>-100</v>
      </c>
      <c r="T48" s="229"/>
      <c r="U48" s="205">
        <f t="shared" si="6"/>
        <v>-100</v>
      </c>
      <c r="V48" s="212">
        <f t="shared" si="7"/>
        <v>-100</v>
      </c>
      <c r="W48" s="205">
        <f t="shared" si="3"/>
        <v>0</v>
      </c>
      <c r="X48" s="207"/>
      <c r="Y48" s="254"/>
      <c r="AB48" s="251"/>
    </row>
    <row r="49" spans="1:28" ht="12" customHeight="1" hidden="1">
      <c r="A49" s="1"/>
      <c r="B49" s="43" t="s">
        <v>77</v>
      </c>
      <c r="C49" s="31" t="s">
        <v>78</v>
      </c>
      <c r="D49" s="214"/>
      <c r="E49" s="215"/>
      <c r="F49" s="214"/>
      <c r="G49" s="386"/>
      <c r="H49" s="98"/>
      <c r="I49" s="98"/>
      <c r="J49" s="98"/>
      <c r="K49" s="107" t="e">
        <f t="shared" si="4"/>
        <v>#DIV/0!</v>
      </c>
      <c r="L49" s="365"/>
      <c r="M49" s="236">
        <f>L49/(H49+1E-133)*100-100</f>
        <v>-100</v>
      </c>
      <c r="N49" s="213"/>
      <c r="O49" s="236">
        <f>N49/(H49+1E-106)*100-100</f>
        <v>-100</v>
      </c>
      <c r="P49" s="236">
        <f>N49-L49</f>
        <v>0</v>
      </c>
      <c r="Q49" s="237"/>
      <c r="R49" s="238"/>
      <c r="S49" s="239">
        <f t="shared" si="5"/>
        <v>-100</v>
      </c>
      <c r="T49" s="238"/>
      <c r="U49" s="239">
        <f t="shared" si="6"/>
        <v>-100</v>
      </c>
      <c r="V49" s="212">
        <f t="shared" si="7"/>
        <v>-100</v>
      </c>
      <c r="W49" s="239">
        <f t="shared" si="3"/>
        <v>0</v>
      </c>
      <c r="X49" s="211"/>
      <c r="Y49" s="161"/>
      <c r="AA49" s="7"/>
      <c r="AB49" s="9"/>
    </row>
    <row r="50" spans="1:28" ht="12" customHeight="1" hidden="1">
      <c r="A50" s="1" t="s">
        <v>62</v>
      </c>
      <c r="B50" s="39" t="s">
        <v>83</v>
      </c>
      <c r="C50" s="31"/>
      <c r="D50" s="217"/>
      <c r="E50" s="218"/>
      <c r="F50" s="217"/>
      <c r="G50" s="218"/>
      <c r="H50" s="94"/>
      <c r="I50" s="94"/>
      <c r="J50" s="94"/>
      <c r="K50" s="107" t="e">
        <f t="shared" si="4"/>
        <v>#DIV/0!</v>
      </c>
      <c r="L50" s="226"/>
      <c r="M50" s="236"/>
      <c r="N50" s="220"/>
      <c r="O50" s="236"/>
      <c r="P50" s="236"/>
      <c r="Q50" s="237"/>
      <c r="R50" s="238"/>
      <c r="S50" s="239">
        <f t="shared" si="5"/>
        <v>-100</v>
      </c>
      <c r="T50" s="238"/>
      <c r="U50" s="239"/>
      <c r="V50" s="212">
        <f t="shared" si="7"/>
        <v>-100</v>
      </c>
      <c r="W50" s="239"/>
      <c r="X50" s="211"/>
      <c r="Y50" s="161"/>
      <c r="AA50" s="7"/>
      <c r="AB50" s="9"/>
    </row>
    <row r="51" spans="1:28" ht="12" customHeight="1" hidden="1">
      <c r="A51" s="1"/>
      <c r="B51" s="41" t="s">
        <v>49</v>
      </c>
      <c r="C51" s="31" t="s">
        <v>73</v>
      </c>
      <c r="D51" s="214"/>
      <c r="E51" s="225">
        <f>E53*1000*E52/(E14+1E-97)</f>
        <v>0</v>
      </c>
      <c r="F51" s="217"/>
      <c r="G51" s="218"/>
      <c r="H51" s="98"/>
      <c r="I51" s="98"/>
      <c r="J51" s="98"/>
      <c r="K51" s="107" t="e">
        <f t="shared" si="4"/>
        <v>#DIV/0!</v>
      </c>
      <c r="L51" s="365"/>
      <c r="M51" s="236">
        <f>L51/(H51+1E-133)*100-100</f>
        <v>-100</v>
      </c>
      <c r="N51" s="213"/>
      <c r="O51" s="236">
        <f>N51/(H51+1E-106)*100-100</f>
        <v>-100</v>
      </c>
      <c r="P51" s="236">
        <f>N51-L51</f>
        <v>0</v>
      </c>
      <c r="Q51" s="237"/>
      <c r="R51" s="238"/>
      <c r="S51" s="239">
        <f t="shared" si="5"/>
        <v>-100</v>
      </c>
      <c r="T51" s="238"/>
      <c r="U51" s="239">
        <f t="shared" si="6"/>
        <v>-100</v>
      </c>
      <c r="V51" s="212">
        <f t="shared" si="7"/>
        <v>-100</v>
      </c>
      <c r="W51" s="239">
        <f t="shared" si="3"/>
        <v>0</v>
      </c>
      <c r="X51" s="211"/>
      <c r="Y51" s="161"/>
      <c r="AA51" s="7"/>
      <c r="AB51" s="9"/>
    </row>
    <row r="52" spans="1:28" ht="12" customHeight="1" hidden="1">
      <c r="A52" s="1"/>
      <c r="B52" s="41" t="s">
        <v>93</v>
      </c>
      <c r="C52" s="31"/>
      <c r="D52" s="214"/>
      <c r="E52" s="215"/>
      <c r="F52" s="214"/>
      <c r="G52" s="386"/>
      <c r="H52" s="102"/>
      <c r="I52" s="102"/>
      <c r="J52" s="102"/>
      <c r="K52" s="107" t="e">
        <f t="shared" si="4"/>
        <v>#DIV/0!</v>
      </c>
      <c r="L52" s="365"/>
      <c r="M52" s="236"/>
      <c r="N52" s="213"/>
      <c r="O52" s="236"/>
      <c r="P52" s="236"/>
      <c r="Q52" s="237"/>
      <c r="R52" s="238"/>
      <c r="S52" s="239">
        <f t="shared" si="5"/>
        <v>-100</v>
      </c>
      <c r="T52" s="238"/>
      <c r="U52" s="239">
        <f t="shared" si="6"/>
        <v>-100</v>
      </c>
      <c r="V52" s="212">
        <f t="shared" si="7"/>
        <v>-100</v>
      </c>
      <c r="W52" s="239">
        <f t="shared" si="3"/>
        <v>0</v>
      </c>
      <c r="X52" s="211"/>
      <c r="Y52" s="161"/>
      <c r="AA52" s="7"/>
      <c r="AB52" s="9"/>
    </row>
    <row r="53" spans="1:28" ht="12" customHeight="1" hidden="1">
      <c r="A53" s="1"/>
      <c r="B53" s="40" t="s">
        <v>50</v>
      </c>
      <c r="C53" s="31" t="s">
        <v>79</v>
      </c>
      <c r="D53" s="217">
        <f>D51/(D52+1E-101)*D14/1000</f>
        <v>0</v>
      </c>
      <c r="E53" s="215"/>
      <c r="F53" s="214">
        <v>0</v>
      </c>
      <c r="G53" s="386"/>
      <c r="H53" s="105">
        <v>0</v>
      </c>
      <c r="I53" s="105"/>
      <c r="J53" s="105">
        <v>0</v>
      </c>
      <c r="K53" s="107" t="e">
        <f t="shared" si="4"/>
        <v>#DIV/0!</v>
      </c>
      <c r="L53" s="226">
        <v>0</v>
      </c>
      <c r="M53" s="236">
        <f>L53/(H53+1E-133)*100-100</f>
        <v>-100</v>
      </c>
      <c r="N53" s="220">
        <f>N51/(N52+1E-101)*N14/1000</f>
        <v>0</v>
      </c>
      <c r="O53" s="236">
        <f>N53/(H53+1E-106)*100-100</f>
        <v>-100</v>
      </c>
      <c r="P53" s="236">
        <f>N53-L53</f>
        <v>0</v>
      </c>
      <c r="Q53" s="237"/>
      <c r="R53" s="238">
        <f>R51/(R52+1E-101)*R14/1000</f>
        <v>0</v>
      </c>
      <c r="S53" s="239">
        <f t="shared" si="5"/>
        <v>-100</v>
      </c>
      <c r="T53" s="238">
        <f>T51/(T52+1E-101)*T14/1000</f>
        <v>0</v>
      </c>
      <c r="U53" s="239">
        <f t="shared" si="6"/>
        <v>-100</v>
      </c>
      <c r="V53" s="212">
        <f t="shared" si="7"/>
        <v>-100</v>
      </c>
      <c r="W53" s="239">
        <f t="shared" si="3"/>
        <v>0</v>
      </c>
      <c r="X53" s="211"/>
      <c r="Y53" s="161"/>
      <c r="AA53" s="7"/>
      <c r="AB53" s="9"/>
    </row>
    <row r="54" spans="1:28" s="250" customFormat="1" ht="12" customHeight="1" hidden="1">
      <c r="A54" s="51"/>
      <c r="B54" s="39" t="s">
        <v>30</v>
      </c>
      <c r="C54" s="52" t="s">
        <v>78</v>
      </c>
      <c r="D54" s="247"/>
      <c r="E54" s="248">
        <f>E137/(E53+1E-102)*1000</f>
        <v>0</v>
      </c>
      <c r="F54" s="204"/>
      <c r="G54" s="255"/>
      <c r="H54" s="98"/>
      <c r="I54" s="98"/>
      <c r="J54" s="98"/>
      <c r="K54" s="107" t="e">
        <f t="shared" si="4"/>
        <v>#DIV/0!</v>
      </c>
      <c r="L54" s="365"/>
      <c r="M54" s="249">
        <f>L54/(H54+1E-133)*100-100</f>
        <v>-100</v>
      </c>
      <c r="N54" s="247"/>
      <c r="O54" s="249">
        <f>N54/(H54+1E-106)*100-100</f>
        <v>-100</v>
      </c>
      <c r="P54" s="249">
        <f>N54-L54</f>
        <v>0</v>
      </c>
      <c r="Q54" s="248"/>
      <c r="R54" s="229"/>
      <c r="S54" s="239">
        <f t="shared" si="5"/>
        <v>-100</v>
      </c>
      <c r="T54" s="229"/>
      <c r="U54" s="205">
        <f t="shared" si="6"/>
        <v>-100</v>
      </c>
      <c r="V54" s="212">
        <f t="shared" si="7"/>
        <v>-100</v>
      </c>
      <c r="W54" s="205">
        <f t="shared" si="3"/>
        <v>0</v>
      </c>
      <c r="X54" s="207"/>
      <c r="Y54" s="254"/>
      <c r="AB54" s="251"/>
    </row>
    <row r="55" spans="1:28" ht="12" customHeight="1" hidden="1">
      <c r="A55" s="1"/>
      <c r="B55" s="43" t="s">
        <v>77</v>
      </c>
      <c r="C55" s="31" t="s">
        <v>78</v>
      </c>
      <c r="D55" s="214"/>
      <c r="E55" s="215"/>
      <c r="F55" s="214"/>
      <c r="G55" s="386"/>
      <c r="H55" s="98"/>
      <c r="I55" s="98"/>
      <c r="J55" s="98"/>
      <c r="K55" s="107" t="e">
        <f t="shared" si="4"/>
        <v>#DIV/0!</v>
      </c>
      <c r="L55" s="365"/>
      <c r="M55" s="236">
        <f>L55/(H55+1E-133)*100-100</f>
        <v>-100</v>
      </c>
      <c r="N55" s="213"/>
      <c r="O55" s="236">
        <f>N55/(H55+1E-106)*100-100</f>
        <v>-100</v>
      </c>
      <c r="P55" s="236">
        <f>N55-L55</f>
        <v>0</v>
      </c>
      <c r="Q55" s="237"/>
      <c r="R55" s="238"/>
      <c r="S55" s="239">
        <f t="shared" si="5"/>
        <v>-100</v>
      </c>
      <c r="T55" s="238"/>
      <c r="U55" s="239">
        <f t="shared" si="6"/>
        <v>-100</v>
      </c>
      <c r="V55" s="212">
        <f t="shared" si="7"/>
        <v>-100</v>
      </c>
      <c r="W55" s="239">
        <f t="shared" si="3"/>
        <v>0</v>
      </c>
      <c r="X55" s="211"/>
      <c r="Y55" s="161"/>
      <c r="AA55" s="7"/>
      <c r="AB55" s="9"/>
    </row>
    <row r="56" spans="1:28" ht="12" customHeight="1" hidden="1">
      <c r="A56" s="1" t="s">
        <v>62</v>
      </c>
      <c r="B56" s="39" t="s">
        <v>85</v>
      </c>
      <c r="C56" s="31"/>
      <c r="D56" s="217"/>
      <c r="E56" s="218"/>
      <c r="F56" s="217"/>
      <c r="G56" s="218"/>
      <c r="H56" s="94"/>
      <c r="I56" s="94"/>
      <c r="J56" s="94"/>
      <c r="K56" s="107" t="e">
        <f t="shared" si="4"/>
        <v>#DIV/0!</v>
      </c>
      <c r="L56" s="226"/>
      <c r="M56" s="236"/>
      <c r="N56" s="220"/>
      <c r="O56" s="236"/>
      <c r="P56" s="236"/>
      <c r="Q56" s="237"/>
      <c r="R56" s="238"/>
      <c r="S56" s="239">
        <f t="shared" si="5"/>
        <v>-100</v>
      </c>
      <c r="T56" s="238"/>
      <c r="U56" s="239"/>
      <c r="V56" s="212">
        <f t="shared" si="7"/>
        <v>-100</v>
      </c>
      <c r="W56" s="239"/>
      <c r="X56" s="211"/>
      <c r="Y56" s="161"/>
      <c r="AA56" s="7"/>
      <c r="AB56" s="9"/>
    </row>
    <row r="57" spans="1:28" ht="12" customHeight="1" hidden="1">
      <c r="A57" s="1"/>
      <c r="B57" s="41" t="s">
        <v>49</v>
      </c>
      <c r="C57" s="31" t="s">
        <v>73</v>
      </c>
      <c r="D57" s="214"/>
      <c r="E57" s="225">
        <f>E59*1000*E58/(E15+1E-96)</f>
        <v>0</v>
      </c>
      <c r="F57" s="217"/>
      <c r="G57" s="218"/>
      <c r="H57" s="98"/>
      <c r="I57" s="98"/>
      <c r="J57" s="98"/>
      <c r="K57" s="107" t="e">
        <f t="shared" si="4"/>
        <v>#DIV/0!</v>
      </c>
      <c r="L57" s="365"/>
      <c r="M57" s="236">
        <f>L57/(H57+1E-133)*100-100</f>
        <v>-100</v>
      </c>
      <c r="N57" s="213"/>
      <c r="O57" s="236">
        <f>N57/(H57+1E-106)*100-100</f>
        <v>-100</v>
      </c>
      <c r="P57" s="236">
        <f>N57-L57</f>
        <v>0</v>
      </c>
      <c r="Q57" s="237"/>
      <c r="R57" s="238"/>
      <c r="S57" s="239">
        <f t="shared" si="5"/>
        <v>-100</v>
      </c>
      <c r="T57" s="238"/>
      <c r="U57" s="239">
        <f t="shared" si="6"/>
        <v>-100</v>
      </c>
      <c r="V57" s="212">
        <f t="shared" si="7"/>
        <v>-100</v>
      </c>
      <c r="W57" s="239">
        <f t="shared" si="3"/>
        <v>0</v>
      </c>
      <c r="X57" s="211"/>
      <c r="Y57" s="161"/>
      <c r="AA57" s="7"/>
      <c r="AB57" s="9"/>
    </row>
    <row r="58" spans="1:28" ht="12" customHeight="1" hidden="1">
      <c r="A58" s="1"/>
      <c r="B58" s="41" t="s">
        <v>93</v>
      </c>
      <c r="C58" s="31"/>
      <c r="D58" s="214"/>
      <c r="E58" s="215"/>
      <c r="F58" s="214"/>
      <c r="G58" s="386"/>
      <c r="H58" s="102"/>
      <c r="I58" s="102"/>
      <c r="J58" s="102"/>
      <c r="K58" s="107" t="e">
        <f t="shared" si="4"/>
        <v>#DIV/0!</v>
      </c>
      <c r="L58" s="365"/>
      <c r="M58" s="236"/>
      <c r="N58" s="213"/>
      <c r="O58" s="236"/>
      <c r="P58" s="236"/>
      <c r="Q58" s="237"/>
      <c r="R58" s="238"/>
      <c r="S58" s="239">
        <f t="shared" si="5"/>
        <v>-100</v>
      </c>
      <c r="T58" s="238"/>
      <c r="U58" s="239">
        <f t="shared" si="6"/>
        <v>-100</v>
      </c>
      <c r="V58" s="212">
        <f t="shared" si="7"/>
        <v>-100</v>
      </c>
      <c r="W58" s="239">
        <f t="shared" si="3"/>
        <v>0</v>
      </c>
      <c r="X58" s="211"/>
      <c r="Y58" s="161"/>
      <c r="AA58" s="7"/>
      <c r="AB58" s="9"/>
    </row>
    <row r="59" spans="1:28" ht="12" customHeight="1" hidden="1">
      <c r="A59" s="1"/>
      <c r="B59" s="40" t="s">
        <v>50</v>
      </c>
      <c r="C59" s="31" t="s">
        <v>79</v>
      </c>
      <c r="D59" s="217">
        <f>D57/(D58+1E-101)*D15/1000</f>
        <v>0</v>
      </c>
      <c r="E59" s="215"/>
      <c r="F59" s="214">
        <v>0</v>
      </c>
      <c r="G59" s="386"/>
      <c r="H59" s="105">
        <v>0</v>
      </c>
      <c r="I59" s="105"/>
      <c r="J59" s="105">
        <v>0</v>
      </c>
      <c r="K59" s="107" t="e">
        <f t="shared" si="4"/>
        <v>#DIV/0!</v>
      </c>
      <c r="L59" s="226">
        <v>0</v>
      </c>
      <c r="M59" s="236">
        <f>L59/(H59+1E-133)*100-100</f>
        <v>-100</v>
      </c>
      <c r="N59" s="220">
        <f>N57/(N58+1E-101)*N15/1000</f>
        <v>0</v>
      </c>
      <c r="O59" s="236">
        <f>N59/(H59+1E-106)*100-100</f>
        <v>-100</v>
      </c>
      <c r="P59" s="236">
        <f>N59-L59</f>
        <v>0</v>
      </c>
      <c r="Q59" s="237"/>
      <c r="R59" s="238">
        <f>R57/(R58+1E-101)*R15/1000</f>
        <v>0</v>
      </c>
      <c r="S59" s="239">
        <f t="shared" si="5"/>
        <v>-100</v>
      </c>
      <c r="T59" s="238">
        <f>T57/(T58+1E-101)*T15/1000</f>
        <v>0</v>
      </c>
      <c r="U59" s="239">
        <f t="shared" si="6"/>
        <v>-100</v>
      </c>
      <c r="V59" s="212">
        <f t="shared" si="7"/>
        <v>-100</v>
      </c>
      <c r="W59" s="239">
        <f t="shared" si="3"/>
        <v>0</v>
      </c>
      <c r="X59" s="211"/>
      <c r="Y59" s="161"/>
      <c r="AA59" s="7"/>
      <c r="AB59" s="9"/>
    </row>
    <row r="60" spans="1:28" s="250" customFormat="1" ht="12" customHeight="1" hidden="1">
      <c r="A60" s="51"/>
      <c r="B60" s="39" t="s">
        <v>30</v>
      </c>
      <c r="C60" s="52" t="s">
        <v>78</v>
      </c>
      <c r="D60" s="221"/>
      <c r="E60" s="248">
        <f>E138/(E59+1E-102)*1000</f>
        <v>0</v>
      </c>
      <c r="F60" s="204"/>
      <c r="G60" s="255"/>
      <c r="H60" s="98"/>
      <c r="I60" s="98"/>
      <c r="J60" s="98"/>
      <c r="K60" s="107" t="e">
        <f t="shared" si="4"/>
        <v>#DIV/0!</v>
      </c>
      <c r="L60" s="365"/>
      <c r="M60" s="249">
        <f>L60/(H60+1E-133)*100-100</f>
        <v>-100</v>
      </c>
      <c r="N60" s="247"/>
      <c r="O60" s="249">
        <f>N60/(H60+1E-106)*100-100</f>
        <v>-100</v>
      </c>
      <c r="P60" s="249">
        <f>N60-L60</f>
        <v>0</v>
      </c>
      <c r="Q60" s="248"/>
      <c r="R60" s="229"/>
      <c r="S60" s="239">
        <f t="shared" si="5"/>
        <v>-100</v>
      </c>
      <c r="T60" s="229"/>
      <c r="U60" s="205">
        <f t="shared" si="6"/>
        <v>-100</v>
      </c>
      <c r="V60" s="212">
        <f t="shared" si="7"/>
        <v>-100</v>
      </c>
      <c r="W60" s="205">
        <f t="shared" si="3"/>
        <v>0</v>
      </c>
      <c r="X60" s="207"/>
      <c r="Y60" s="254"/>
      <c r="AB60" s="251"/>
    </row>
    <row r="61" spans="1:28" ht="12" customHeight="1" hidden="1">
      <c r="A61" s="1"/>
      <c r="B61" s="43" t="s">
        <v>77</v>
      </c>
      <c r="C61" s="31" t="s">
        <v>78</v>
      </c>
      <c r="D61" s="214"/>
      <c r="E61" s="215"/>
      <c r="F61" s="214"/>
      <c r="G61" s="386"/>
      <c r="H61" s="98"/>
      <c r="I61" s="98"/>
      <c r="J61" s="98"/>
      <c r="K61" s="107" t="e">
        <f t="shared" si="4"/>
        <v>#DIV/0!</v>
      </c>
      <c r="L61" s="365"/>
      <c r="M61" s="236">
        <f>L61/(H61+1E-133)*100-100</f>
        <v>-100</v>
      </c>
      <c r="N61" s="213"/>
      <c r="O61" s="236">
        <f>N61/(H61+1E-106)*100-100</f>
        <v>-100</v>
      </c>
      <c r="P61" s="236">
        <f>N61-L61</f>
        <v>0</v>
      </c>
      <c r="Q61" s="237"/>
      <c r="R61" s="238"/>
      <c r="S61" s="239">
        <f t="shared" si="5"/>
        <v>-100</v>
      </c>
      <c r="T61" s="238"/>
      <c r="U61" s="239">
        <f t="shared" si="6"/>
        <v>-100</v>
      </c>
      <c r="V61" s="212">
        <f t="shared" si="7"/>
        <v>-100</v>
      </c>
      <c r="W61" s="239">
        <f t="shared" si="3"/>
        <v>0</v>
      </c>
      <c r="X61" s="211"/>
      <c r="Y61" s="161"/>
      <c r="AA61" s="7"/>
      <c r="AB61" s="9"/>
    </row>
    <row r="62" spans="1:28" ht="12" customHeight="1" hidden="1">
      <c r="A62" s="1" t="s">
        <v>62</v>
      </c>
      <c r="B62" s="39" t="s">
        <v>86</v>
      </c>
      <c r="C62" s="31"/>
      <c r="D62" s="217"/>
      <c r="E62" s="218"/>
      <c r="F62" s="217"/>
      <c r="G62" s="218"/>
      <c r="H62" s="94"/>
      <c r="I62" s="94"/>
      <c r="J62" s="94"/>
      <c r="K62" s="107" t="e">
        <f t="shared" si="4"/>
        <v>#DIV/0!</v>
      </c>
      <c r="L62" s="226"/>
      <c r="M62" s="236"/>
      <c r="N62" s="220"/>
      <c r="O62" s="236"/>
      <c r="P62" s="236"/>
      <c r="Q62" s="237"/>
      <c r="R62" s="238"/>
      <c r="S62" s="239">
        <f t="shared" si="5"/>
        <v>-100</v>
      </c>
      <c r="T62" s="238"/>
      <c r="U62" s="239"/>
      <c r="V62" s="212">
        <f t="shared" si="7"/>
        <v>-100</v>
      </c>
      <c r="W62" s="239"/>
      <c r="X62" s="211"/>
      <c r="Y62" s="161"/>
      <c r="AA62" s="7"/>
      <c r="AB62" s="9"/>
    </row>
    <row r="63" spans="1:28" ht="12" customHeight="1" hidden="1">
      <c r="A63" s="1"/>
      <c r="B63" s="41" t="s">
        <v>49</v>
      </c>
      <c r="C63" s="31" t="s">
        <v>73</v>
      </c>
      <c r="D63" s="214"/>
      <c r="E63" s="225">
        <f>E65*1000*E64/(E16+1E-98)</f>
        <v>0</v>
      </c>
      <c r="F63" s="217"/>
      <c r="G63" s="218"/>
      <c r="H63" s="98"/>
      <c r="I63" s="98"/>
      <c r="J63" s="98"/>
      <c r="K63" s="107" t="e">
        <f t="shared" si="4"/>
        <v>#DIV/0!</v>
      </c>
      <c r="L63" s="365"/>
      <c r="M63" s="236">
        <f>L63/(H63+1E-133)*100-100</f>
        <v>-100</v>
      </c>
      <c r="N63" s="213"/>
      <c r="O63" s="236">
        <f>N63/(H63+1E-106)*100-100</f>
        <v>-100</v>
      </c>
      <c r="P63" s="236">
        <f>N63-L63</f>
        <v>0</v>
      </c>
      <c r="Q63" s="237"/>
      <c r="R63" s="238"/>
      <c r="S63" s="239">
        <f t="shared" si="5"/>
        <v>-100</v>
      </c>
      <c r="T63" s="238"/>
      <c r="U63" s="239">
        <f t="shared" si="6"/>
        <v>-100</v>
      </c>
      <c r="V63" s="212">
        <f t="shared" si="7"/>
        <v>-100</v>
      </c>
      <c r="W63" s="239">
        <f t="shared" si="3"/>
        <v>0</v>
      </c>
      <c r="X63" s="211"/>
      <c r="Y63" s="161"/>
      <c r="AA63" s="7"/>
      <c r="AB63" s="9"/>
    </row>
    <row r="64" spans="1:28" ht="12" customHeight="1" hidden="1">
      <c r="A64" s="1"/>
      <c r="B64" s="41" t="s">
        <v>93</v>
      </c>
      <c r="C64" s="31"/>
      <c r="D64" s="214"/>
      <c r="E64" s="215"/>
      <c r="F64" s="214"/>
      <c r="G64" s="386"/>
      <c r="H64" s="102"/>
      <c r="I64" s="102"/>
      <c r="J64" s="102"/>
      <c r="K64" s="107" t="e">
        <f t="shared" si="4"/>
        <v>#DIV/0!</v>
      </c>
      <c r="L64" s="365"/>
      <c r="M64" s="236"/>
      <c r="N64" s="213"/>
      <c r="O64" s="236"/>
      <c r="P64" s="236"/>
      <c r="Q64" s="237"/>
      <c r="R64" s="238"/>
      <c r="S64" s="239">
        <f t="shared" si="5"/>
        <v>-100</v>
      </c>
      <c r="T64" s="238"/>
      <c r="U64" s="239">
        <f t="shared" si="6"/>
        <v>-100</v>
      </c>
      <c r="V64" s="212">
        <f t="shared" si="7"/>
        <v>-100</v>
      </c>
      <c r="W64" s="239">
        <f t="shared" si="3"/>
        <v>0</v>
      </c>
      <c r="X64" s="211"/>
      <c r="Y64" s="161"/>
      <c r="AA64" s="7"/>
      <c r="AB64" s="9"/>
    </row>
    <row r="65" spans="1:28" ht="12" customHeight="1" hidden="1">
      <c r="A65" s="1"/>
      <c r="B65" s="40" t="s">
        <v>50</v>
      </c>
      <c r="C65" s="31" t="s">
        <v>79</v>
      </c>
      <c r="D65" s="217">
        <f>D63/(D64+1E-97)*D16/1000</f>
        <v>0</v>
      </c>
      <c r="E65" s="215"/>
      <c r="F65" s="214">
        <v>0</v>
      </c>
      <c r="G65" s="386"/>
      <c r="H65" s="105">
        <v>0</v>
      </c>
      <c r="I65" s="105"/>
      <c r="J65" s="105">
        <v>0</v>
      </c>
      <c r="K65" s="107" t="e">
        <f t="shared" si="4"/>
        <v>#DIV/0!</v>
      </c>
      <c r="L65" s="226">
        <v>0</v>
      </c>
      <c r="M65" s="236">
        <f>L65/(H65+1E-133)*100-100</f>
        <v>-100</v>
      </c>
      <c r="N65" s="220">
        <f>N63/(N64+1E-97)*N16/1000</f>
        <v>0</v>
      </c>
      <c r="O65" s="236">
        <f>N65/(H65+1E-106)*100-100</f>
        <v>-100</v>
      </c>
      <c r="P65" s="236">
        <f>N65-L65</f>
        <v>0</v>
      </c>
      <c r="Q65" s="237"/>
      <c r="R65" s="238">
        <f>R63/(R64+1E-97)*R16/1000</f>
        <v>0</v>
      </c>
      <c r="S65" s="239">
        <f t="shared" si="5"/>
        <v>-100</v>
      </c>
      <c r="T65" s="238">
        <f>T63/(T64+1E-97)*T16/1000</f>
        <v>0</v>
      </c>
      <c r="U65" s="239">
        <f t="shared" si="6"/>
        <v>-100</v>
      </c>
      <c r="V65" s="212">
        <f t="shared" si="7"/>
        <v>-100</v>
      </c>
      <c r="W65" s="239">
        <f t="shared" si="3"/>
        <v>0</v>
      </c>
      <c r="X65" s="211"/>
      <c r="Y65" s="161"/>
      <c r="AA65" s="7"/>
      <c r="AB65" s="9"/>
    </row>
    <row r="66" spans="1:28" s="250" customFormat="1" ht="12" customHeight="1" hidden="1">
      <c r="A66" s="51"/>
      <c r="B66" s="39" t="s">
        <v>30</v>
      </c>
      <c r="C66" s="52" t="s">
        <v>78</v>
      </c>
      <c r="D66" s="247"/>
      <c r="E66" s="248">
        <f>E139/(E65+1E-102)*1000</f>
        <v>0</v>
      </c>
      <c r="F66" s="204"/>
      <c r="G66" s="255"/>
      <c r="H66" s="98"/>
      <c r="I66" s="98"/>
      <c r="J66" s="98"/>
      <c r="K66" s="107" t="e">
        <f t="shared" si="4"/>
        <v>#DIV/0!</v>
      </c>
      <c r="L66" s="365"/>
      <c r="M66" s="249">
        <f>L66/(H66+1E-133)*100-100</f>
        <v>-100</v>
      </c>
      <c r="N66" s="247"/>
      <c r="O66" s="249">
        <f>N66/(H66+1E-106)*100-100</f>
        <v>-100</v>
      </c>
      <c r="P66" s="249">
        <f>N66-L66</f>
        <v>0</v>
      </c>
      <c r="Q66" s="248"/>
      <c r="R66" s="229"/>
      <c r="S66" s="239">
        <f t="shared" si="5"/>
        <v>-100</v>
      </c>
      <c r="T66" s="229"/>
      <c r="U66" s="205">
        <f t="shared" si="6"/>
        <v>-100</v>
      </c>
      <c r="V66" s="212">
        <f t="shared" si="7"/>
        <v>-100</v>
      </c>
      <c r="W66" s="205">
        <f t="shared" si="3"/>
        <v>0</v>
      </c>
      <c r="X66" s="207"/>
      <c r="Y66" s="254"/>
      <c r="AB66" s="251"/>
    </row>
    <row r="67" spans="1:28" ht="12" customHeight="1" hidden="1">
      <c r="A67" s="1"/>
      <c r="B67" s="43" t="s">
        <v>77</v>
      </c>
      <c r="C67" s="31" t="s">
        <v>78</v>
      </c>
      <c r="D67" s="214"/>
      <c r="E67" s="215"/>
      <c r="F67" s="214"/>
      <c r="G67" s="386"/>
      <c r="H67" s="98"/>
      <c r="I67" s="98"/>
      <c r="J67" s="98"/>
      <c r="K67" s="107" t="e">
        <f t="shared" si="4"/>
        <v>#DIV/0!</v>
      </c>
      <c r="L67" s="365"/>
      <c r="M67" s="236">
        <f>L67/(H67+1E-133)*100-100</f>
        <v>-100</v>
      </c>
      <c r="N67" s="213"/>
      <c r="O67" s="236">
        <f>N67/(H67+1E-106)*100-100</f>
        <v>-100</v>
      </c>
      <c r="P67" s="236">
        <f>N67-L67</f>
        <v>0</v>
      </c>
      <c r="Q67" s="237"/>
      <c r="R67" s="238"/>
      <c r="S67" s="239">
        <f t="shared" si="5"/>
        <v>-100</v>
      </c>
      <c r="T67" s="238"/>
      <c r="U67" s="239">
        <f t="shared" si="6"/>
        <v>-100</v>
      </c>
      <c r="V67" s="212">
        <f t="shared" si="7"/>
        <v>-100</v>
      </c>
      <c r="W67" s="239">
        <f t="shared" si="3"/>
        <v>0</v>
      </c>
      <c r="X67" s="211"/>
      <c r="Y67" s="161"/>
      <c r="AA67" s="7"/>
      <c r="AB67" s="9"/>
    </row>
    <row r="68" spans="1:28" ht="12" customHeight="1">
      <c r="A68" s="51">
        <v>8</v>
      </c>
      <c r="B68" s="39" t="s">
        <v>9</v>
      </c>
      <c r="C68" s="31"/>
      <c r="D68" s="217"/>
      <c r="E68" s="225"/>
      <c r="F68" s="217"/>
      <c r="G68" s="218"/>
      <c r="H68" s="105"/>
      <c r="I68" s="105"/>
      <c r="J68" s="105"/>
      <c r="K68" s="107"/>
      <c r="L68" s="226"/>
      <c r="M68" s="237"/>
      <c r="N68" s="220"/>
      <c r="O68" s="236"/>
      <c r="P68" s="236"/>
      <c r="Q68" s="237"/>
      <c r="R68" s="238"/>
      <c r="S68" s="239"/>
      <c r="T68" s="238"/>
      <c r="U68" s="239"/>
      <c r="V68" s="212"/>
      <c r="W68" s="239">
        <f t="shared" si="3"/>
        <v>0</v>
      </c>
      <c r="X68" s="211"/>
      <c r="Y68" s="161"/>
      <c r="AA68" s="7"/>
      <c r="AB68" s="9"/>
    </row>
    <row r="69" spans="1:28" ht="12" customHeight="1">
      <c r="A69" s="51" t="s">
        <v>62</v>
      </c>
      <c r="B69" s="40" t="s">
        <v>27</v>
      </c>
      <c r="C69" s="31"/>
      <c r="D69" s="217">
        <f>D70*1000/(D9+1E-113)</f>
        <v>0</v>
      </c>
      <c r="E69" s="218">
        <f>E70*1000/(E9+1E-113)</f>
        <v>0</v>
      </c>
      <c r="F69" s="217">
        <v>33</v>
      </c>
      <c r="G69" s="219">
        <v>21.13</v>
      </c>
      <c r="H69" s="105">
        <f>I69</f>
        <v>21.13</v>
      </c>
      <c r="I69" s="105">
        <f>I79/I9*1000</f>
        <v>21.13</v>
      </c>
      <c r="J69" s="105">
        <v>21.13</v>
      </c>
      <c r="K69" s="107">
        <f t="shared" si="4"/>
        <v>0</v>
      </c>
      <c r="L69" s="226">
        <f>G69</f>
        <v>21.13</v>
      </c>
      <c r="M69" s="236">
        <f aca="true" t="shared" si="8" ref="M69:M74">L69/(H69+1E-133)*100-100</f>
        <v>0</v>
      </c>
      <c r="N69" s="220">
        <f>N70*1000/(N9+1E-113)</f>
        <v>0</v>
      </c>
      <c r="O69" s="236">
        <f>N69/(H69+1E-106)*100-100</f>
        <v>-100</v>
      </c>
      <c r="P69" s="236">
        <f aca="true" t="shared" si="9" ref="P69:P74">N69-L69</f>
        <v>-21.13</v>
      </c>
      <c r="Q69" s="237"/>
      <c r="R69" s="238">
        <f>H69</f>
        <v>21.13</v>
      </c>
      <c r="S69" s="239">
        <f t="shared" si="5"/>
        <v>0</v>
      </c>
      <c r="T69" s="238">
        <f>R69</f>
        <v>21.13</v>
      </c>
      <c r="U69" s="239">
        <f t="shared" si="6"/>
        <v>0</v>
      </c>
      <c r="V69" s="212">
        <f t="shared" si="7"/>
        <v>0</v>
      </c>
      <c r="W69" s="239">
        <f t="shared" si="3"/>
        <v>0</v>
      </c>
      <c r="X69" s="211"/>
      <c r="Y69" s="161"/>
      <c r="AA69" s="7"/>
      <c r="AB69" s="9"/>
    </row>
    <row r="70" spans="1:28" s="250" customFormat="1" ht="39" customHeight="1" hidden="1">
      <c r="A70" s="51" t="s">
        <v>62</v>
      </c>
      <c r="B70" s="39" t="s">
        <v>158</v>
      </c>
      <c r="C70" s="52" t="s">
        <v>44</v>
      </c>
      <c r="D70" s="202">
        <f>D79+D85+D91+D97+D104+D110+D116+D122</f>
        <v>0</v>
      </c>
      <c r="E70" s="255">
        <f>E71+E72+E73+E74</f>
        <v>0</v>
      </c>
      <c r="F70" s="204">
        <v>6407.65</v>
      </c>
      <c r="G70" s="255"/>
      <c r="H70" s="113">
        <v>440.5</v>
      </c>
      <c r="I70" s="113"/>
      <c r="J70" s="113">
        <v>440.5</v>
      </c>
      <c r="K70" s="107">
        <f t="shared" si="4"/>
        <v>0</v>
      </c>
      <c r="L70" s="364">
        <f>H70</f>
        <v>440.5</v>
      </c>
      <c r="M70" s="249">
        <f t="shared" si="8"/>
        <v>0</v>
      </c>
      <c r="N70" s="204">
        <f>N71+N72+N73+N74</f>
        <v>0</v>
      </c>
      <c r="O70" s="249">
        <f>N70/(H70+1E-106)*100-100</f>
        <v>-100</v>
      </c>
      <c r="P70" s="249">
        <f t="shared" si="9"/>
        <v>-440.5</v>
      </c>
      <c r="Q70" s="248"/>
      <c r="R70" s="229">
        <f>R79+R97</f>
        <v>269.7</v>
      </c>
      <c r="S70" s="239">
        <f t="shared" si="5"/>
        <v>-38.77</v>
      </c>
      <c r="T70" s="229">
        <f>R70</f>
        <v>269.7</v>
      </c>
      <c r="U70" s="205">
        <f t="shared" si="6"/>
        <v>0</v>
      </c>
      <c r="V70" s="212">
        <f t="shared" si="7"/>
        <v>-38.8</v>
      </c>
      <c r="W70" s="205">
        <f t="shared" si="3"/>
        <v>-170.8</v>
      </c>
      <c r="X70" s="206"/>
      <c r="Y70" s="254"/>
      <c r="AB70" s="251"/>
    </row>
    <row r="71" spans="1:28" ht="12" customHeight="1" hidden="1">
      <c r="A71" s="51"/>
      <c r="B71" s="40" t="s">
        <v>120</v>
      </c>
      <c r="C71" s="31" t="s">
        <v>44</v>
      </c>
      <c r="D71" s="217" t="s">
        <v>143</v>
      </c>
      <c r="E71" s="237">
        <f>E79+E104</f>
        <v>0</v>
      </c>
      <c r="F71" s="220">
        <v>6407.65</v>
      </c>
      <c r="G71" s="219"/>
      <c r="H71" s="98">
        <v>440.5</v>
      </c>
      <c r="I71" s="98"/>
      <c r="J71" s="98">
        <v>440.5</v>
      </c>
      <c r="K71" s="107">
        <f t="shared" si="4"/>
        <v>0</v>
      </c>
      <c r="L71" s="365"/>
      <c r="M71" s="90">
        <f t="shared" si="8"/>
        <v>-100</v>
      </c>
      <c r="N71" s="220">
        <f>N104</f>
        <v>0</v>
      </c>
      <c r="O71" s="90"/>
      <c r="P71" s="91">
        <f t="shared" si="9"/>
        <v>0</v>
      </c>
      <c r="Q71" s="106"/>
      <c r="R71" s="220">
        <f>R104</f>
        <v>0</v>
      </c>
      <c r="S71" s="239">
        <f t="shared" si="5"/>
        <v>-100</v>
      </c>
      <c r="T71" s="220">
        <f>T104</f>
        <v>0</v>
      </c>
      <c r="U71" s="212">
        <f t="shared" si="6"/>
        <v>-100</v>
      </c>
      <c r="V71" s="212">
        <f t="shared" si="7"/>
        <v>-100</v>
      </c>
      <c r="W71" s="211">
        <f t="shared" si="3"/>
        <v>0</v>
      </c>
      <c r="X71" s="212"/>
      <c r="Y71" s="161"/>
      <c r="AA71" s="7"/>
      <c r="AB71" s="9"/>
    </row>
    <row r="72" spans="1:28" ht="12" customHeight="1" hidden="1">
      <c r="A72" s="51"/>
      <c r="B72" s="40" t="s">
        <v>121</v>
      </c>
      <c r="C72" s="31" t="s">
        <v>44</v>
      </c>
      <c r="D72" s="217" t="s">
        <v>143</v>
      </c>
      <c r="E72" s="237">
        <f>E85+E110</f>
        <v>0</v>
      </c>
      <c r="F72" s="220"/>
      <c r="G72" s="219"/>
      <c r="H72" s="98"/>
      <c r="I72" s="98"/>
      <c r="J72" s="98"/>
      <c r="K72" s="107" t="e">
        <f t="shared" si="4"/>
        <v>#DIV/0!</v>
      </c>
      <c r="L72" s="369">
        <v>46.81</v>
      </c>
      <c r="M72" s="90">
        <f t="shared" si="8"/>
        <v>4.681E+136</v>
      </c>
      <c r="N72" s="220">
        <f>N110</f>
        <v>0</v>
      </c>
      <c r="O72" s="90"/>
      <c r="P72" s="91">
        <f t="shared" si="9"/>
        <v>-46.81</v>
      </c>
      <c r="Q72" s="106"/>
      <c r="R72" s="220">
        <f>R110</f>
        <v>269.68</v>
      </c>
      <c r="S72" s="239">
        <f t="shared" si="5"/>
        <v>2.6968E+110</v>
      </c>
      <c r="T72" s="220">
        <f>T110</f>
        <v>0</v>
      </c>
      <c r="U72" s="212">
        <f t="shared" si="6"/>
        <v>-100</v>
      </c>
      <c r="V72" s="212">
        <f t="shared" si="7"/>
        <v>-100</v>
      </c>
      <c r="W72" s="211">
        <f t="shared" si="3"/>
        <v>-46.8</v>
      </c>
      <c r="X72" s="212"/>
      <c r="Y72" s="161"/>
      <c r="AA72" s="7"/>
      <c r="AB72" s="9"/>
    </row>
    <row r="73" spans="1:28" ht="12" customHeight="1" hidden="1">
      <c r="A73" s="51"/>
      <c r="B73" s="40" t="s">
        <v>122</v>
      </c>
      <c r="C73" s="31" t="s">
        <v>44</v>
      </c>
      <c r="D73" s="217" t="s">
        <v>143</v>
      </c>
      <c r="E73" s="237">
        <f>E91+E116</f>
        <v>0</v>
      </c>
      <c r="F73" s="220"/>
      <c r="G73" s="219"/>
      <c r="H73" s="98"/>
      <c r="I73" s="98"/>
      <c r="J73" s="98"/>
      <c r="K73" s="107" t="e">
        <f t="shared" si="4"/>
        <v>#DIV/0!</v>
      </c>
      <c r="L73" s="365"/>
      <c r="M73" s="90">
        <f t="shared" si="8"/>
        <v>-100</v>
      </c>
      <c r="N73" s="220">
        <f>N116</f>
        <v>0</v>
      </c>
      <c r="O73" s="90"/>
      <c r="P73" s="91">
        <f t="shared" si="9"/>
        <v>0</v>
      </c>
      <c r="Q73" s="106"/>
      <c r="R73" s="220">
        <f>R116</f>
        <v>0</v>
      </c>
      <c r="S73" s="239">
        <f t="shared" si="5"/>
        <v>-100</v>
      </c>
      <c r="T73" s="220">
        <f>T116</f>
        <v>0</v>
      </c>
      <c r="U73" s="212">
        <f t="shared" si="6"/>
        <v>-100</v>
      </c>
      <c r="V73" s="212">
        <f t="shared" si="7"/>
        <v>-100</v>
      </c>
      <c r="W73" s="211">
        <f aca="true" t="shared" si="10" ref="W73:W130">T73-L73</f>
        <v>0</v>
      </c>
      <c r="X73" s="212"/>
      <c r="Y73" s="161"/>
      <c r="AA73" s="7"/>
      <c r="AB73" s="9"/>
    </row>
    <row r="74" spans="1:28" ht="12" customHeight="1" hidden="1">
      <c r="A74" s="51"/>
      <c r="B74" s="40" t="s">
        <v>123</v>
      </c>
      <c r="C74" s="31" t="s">
        <v>44</v>
      </c>
      <c r="D74" s="217" t="s">
        <v>143</v>
      </c>
      <c r="E74" s="237">
        <f>E97+E122</f>
        <v>0</v>
      </c>
      <c r="F74" s="220"/>
      <c r="G74" s="219"/>
      <c r="H74" s="98"/>
      <c r="I74" s="98"/>
      <c r="J74" s="98"/>
      <c r="K74" s="107" t="e">
        <f aca="true" t="shared" si="11" ref="K74:K137">J74/H74*100-100</f>
        <v>#DIV/0!</v>
      </c>
      <c r="L74" s="365"/>
      <c r="M74" s="90">
        <f t="shared" si="8"/>
        <v>-100</v>
      </c>
      <c r="N74" s="220">
        <f>N122</f>
        <v>0</v>
      </c>
      <c r="O74" s="90"/>
      <c r="P74" s="91">
        <f t="shared" si="9"/>
        <v>0</v>
      </c>
      <c r="Q74" s="106"/>
      <c r="R74" s="220">
        <f>R122</f>
        <v>0</v>
      </c>
      <c r="S74" s="239">
        <f aca="true" t="shared" si="12" ref="S74:S137">R74/(H74+1E-106)*100-100</f>
        <v>-100</v>
      </c>
      <c r="T74" s="220">
        <f>T122</f>
        <v>0</v>
      </c>
      <c r="U74" s="212">
        <f aca="true" t="shared" si="13" ref="U74:U137">T74/(R74+1E-106)*100-100</f>
        <v>-100</v>
      </c>
      <c r="V74" s="212">
        <f aca="true" t="shared" si="14" ref="V74:V137">T74/(H74+1E-106)*100-100</f>
        <v>-100</v>
      </c>
      <c r="W74" s="211">
        <f t="shared" si="10"/>
        <v>0</v>
      </c>
      <c r="X74" s="212"/>
      <c r="Y74" s="161"/>
      <c r="AA74" s="7"/>
      <c r="AB74" s="9"/>
    </row>
    <row r="75" spans="1:28" ht="12" customHeight="1" hidden="1">
      <c r="A75" s="51"/>
      <c r="B75" s="39" t="s">
        <v>156</v>
      </c>
      <c r="C75" s="31"/>
      <c r="D75" s="214"/>
      <c r="E75" s="215"/>
      <c r="F75" s="214"/>
      <c r="G75" s="386"/>
      <c r="H75" s="98"/>
      <c r="I75" s="98"/>
      <c r="J75" s="98"/>
      <c r="K75" s="107" t="e">
        <f t="shared" si="11"/>
        <v>#DIV/0!</v>
      </c>
      <c r="L75" s="365"/>
      <c r="M75" s="90"/>
      <c r="N75" s="213"/>
      <c r="O75" s="90"/>
      <c r="P75" s="91"/>
      <c r="Q75" s="106"/>
      <c r="R75" s="256"/>
      <c r="S75" s="239">
        <f t="shared" si="12"/>
        <v>-100</v>
      </c>
      <c r="T75" s="256"/>
      <c r="U75" s="212">
        <f t="shared" si="13"/>
        <v>-100</v>
      </c>
      <c r="V75" s="212">
        <f t="shared" si="14"/>
        <v>-100</v>
      </c>
      <c r="W75" s="211">
        <f t="shared" si="10"/>
        <v>0</v>
      </c>
      <c r="X75" s="212"/>
      <c r="Y75" s="161"/>
      <c r="AA75" s="7"/>
      <c r="AB75" s="9"/>
    </row>
    <row r="76" spans="1:28" ht="12" customHeight="1" hidden="1">
      <c r="A76" s="51" t="s">
        <v>62</v>
      </c>
      <c r="B76" s="39" t="s">
        <v>157</v>
      </c>
      <c r="C76" s="31" t="s">
        <v>44</v>
      </c>
      <c r="D76" s="257">
        <f>D79+D85+D91+D97</f>
        <v>0</v>
      </c>
      <c r="E76" s="258">
        <f>E79+E85+E91+E97</f>
        <v>0</v>
      </c>
      <c r="F76" s="257">
        <v>6407.65</v>
      </c>
      <c r="G76" s="258"/>
      <c r="H76" s="157">
        <v>440.5</v>
      </c>
      <c r="I76" s="157"/>
      <c r="J76" s="157">
        <v>440.5</v>
      </c>
      <c r="K76" s="107">
        <f t="shared" si="11"/>
        <v>0</v>
      </c>
      <c r="L76" s="370">
        <v>0</v>
      </c>
      <c r="M76" s="90">
        <f>L76/(H76+1E-133)*100-100</f>
        <v>-100</v>
      </c>
      <c r="N76" s="259">
        <f>N79+N85+N91+N97</f>
        <v>0</v>
      </c>
      <c r="O76" s="90">
        <f>N76/(H76+1E-106)*100-100</f>
        <v>-100</v>
      </c>
      <c r="P76" s="91">
        <f>N76-L76</f>
        <v>0</v>
      </c>
      <c r="Q76" s="106"/>
      <c r="R76" s="256">
        <f>R79+R85+R91+R97</f>
        <v>269.7</v>
      </c>
      <c r="S76" s="239">
        <f t="shared" si="12"/>
        <v>-38.77</v>
      </c>
      <c r="T76" s="256">
        <f>T79+T85+T91+T97</f>
        <v>269.7</v>
      </c>
      <c r="U76" s="212">
        <f t="shared" si="13"/>
        <v>0</v>
      </c>
      <c r="V76" s="212">
        <f t="shared" si="14"/>
        <v>-38.8</v>
      </c>
      <c r="W76" s="211">
        <f t="shared" si="10"/>
        <v>269.7</v>
      </c>
      <c r="X76" s="212"/>
      <c r="Y76" s="161"/>
      <c r="AA76" s="7"/>
      <c r="AB76" s="9"/>
    </row>
    <row r="77" spans="1:28" ht="12" customHeight="1" hidden="1">
      <c r="A77" s="51"/>
      <c r="B77" s="40" t="s">
        <v>159</v>
      </c>
      <c r="C77" s="147"/>
      <c r="D77" s="214">
        <v>100</v>
      </c>
      <c r="E77" s="225">
        <f>(E79+E85+E91+E97)/(E70+1E-122)*100</f>
        <v>0</v>
      </c>
      <c r="F77" s="217">
        <v>100</v>
      </c>
      <c r="G77" s="218"/>
      <c r="H77" s="98">
        <v>100</v>
      </c>
      <c r="I77" s="98"/>
      <c r="J77" s="98">
        <v>100</v>
      </c>
      <c r="K77" s="107">
        <f t="shared" si="11"/>
        <v>0</v>
      </c>
      <c r="L77" s="365"/>
      <c r="M77" s="90"/>
      <c r="N77" s="213"/>
      <c r="O77" s="90"/>
      <c r="P77" s="91"/>
      <c r="Q77" s="106"/>
      <c r="R77" s="256"/>
      <c r="S77" s="239">
        <f t="shared" si="12"/>
        <v>-100</v>
      </c>
      <c r="T77" s="256"/>
      <c r="U77" s="212">
        <f t="shared" si="13"/>
        <v>-100</v>
      </c>
      <c r="V77" s="212">
        <f t="shared" si="14"/>
        <v>-100</v>
      </c>
      <c r="W77" s="211">
        <f t="shared" si="10"/>
        <v>0</v>
      </c>
      <c r="X77" s="212"/>
      <c r="Y77" s="161"/>
      <c r="AA77" s="7"/>
      <c r="AB77" s="9"/>
    </row>
    <row r="78" spans="1:28" ht="12" customHeight="1">
      <c r="A78" s="1" t="s">
        <v>62</v>
      </c>
      <c r="B78" s="39" t="s">
        <v>120</v>
      </c>
      <c r="C78" s="31"/>
      <c r="D78" s="217"/>
      <c r="E78" s="225"/>
      <c r="F78" s="217"/>
      <c r="G78" s="218"/>
      <c r="H78" s="105"/>
      <c r="I78" s="105"/>
      <c r="J78" s="105"/>
      <c r="K78" s="107"/>
      <c r="L78" s="226"/>
      <c r="M78" s="106"/>
      <c r="N78" s="220"/>
      <c r="O78" s="90"/>
      <c r="P78" s="91"/>
      <c r="Q78" s="106"/>
      <c r="R78" s="256"/>
      <c r="S78" s="239"/>
      <c r="T78" s="256"/>
      <c r="U78" s="212"/>
      <c r="V78" s="212"/>
      <c r="W78" s="211"/>
      <c r="X78" s="212"/>
      <c r="Y78" s="161"/>
      <c r="AA78" s="7"/>
      <c r="AB78" s="9"/>
    </row>
    <row r="79" spans="1:28" ht="12" customHeight="1">
      <c r="A79" s="1"/>
      <c r="B79" s="40" t="s">
        <v>28</v>
      </c>
      <c r="C79" s="31" t="s">
        <v>44</v>
      </c>
      <c r="D79" s="214"/>
      <c r="E79" s="215"/>
      <c r="F79" s="214">
        <v>6407.65</v>
      </c>
      <c r="G79" s="386">
        <v>345.1</v>
      </c>
      <c r="H79" s="105">
        <f>H69*H9/1000</f>
        <v>269.68</v>
      </c>
      <c r="I79" s="105">
        <v>345.1</v>
      </c>
      <c r="J79" s="105">
        <v>269.68</v>
      </c>
      <c r="K79" s="107">
        <f t="shared" si="11"/>
        <v>0</v>
      </c>
      <c r="L79" s="107">
        <f>L69*L9/1000</f>
        <v>345.1</v>
      </c>
      <c r="M79" s="90">
        <f>L79/(H79+1E-133)*100-100</f>
        <v>28</v>
      </c>
      <c r="N79" s="220"/>
      <c r="O79" s="90">
        <f>N79/(H79+1E-106)*100-100</f>
        <v>-100</v>
      </c>
      <c r="P79" s="91">
        <f>N79-L79</f>
        <v>-345.1</v>
      </c>
      <c r="Q79" s="106"/>
      <c r="R79" s="256">
        <f>J79</f>
        <v>269.7</v>
      </c>
      <c r="S79" s="239">
        <f t="shared" si="12"/>
        <v>0.01</v>
      </c>
      <c r="T79" s="256">
        <f>R79</f>
        <v>269.7</v>
      </c>
      <c r="U79" s="212">
        <f t="shared" si="13"/>
        <v>0</v>
      </c>
      <c r="V79" s="212">
        <f t="shared" si="14"/>
        <v>0</v>
      </c>
      <c r="W79" s="211">
        <f t="shared" si="10"/>
        <v>-75.4</v>
      </c>
      <c r="X79" s="212"/>
      <c r="Y79" s="546" t="s">
        <v>246</v>
      </c>
      <c r="AA79" s="7"/>
      <c r="AB79" s="9"/>
    </row>
    <row r="80" spans="1:28" s="250" customFormat="1" ht="12" customHeight="1">
      <c r="A80" s="51"/>
      <c r="B80" s="39" t="s">
        <v>33</v>
      </c>
      <c r="C80" s="52" t="s">
        <v>45</v>
      </c>
      <c r="D80" s="247"/>
      <c r="E80" s="248">
        <f>E142/(E79+1E-107)</f>
        <v>0</v>
      </c>
      <c r="F80" s="204">
        <v>3.81</v>
      </c>
      <c r="G80" s="255">
        <v>3.86</v>
      </c>
      <c r="H80" s="126">
        <v>3.1</v>
      </c>
      <c r="I80" s="126">
        <v>3.86</v>
      </c>
      <c r="J80" s="126">
        <f>1.18*3.1</f>
        <v>3.66</v>
      </c>
      <c r="K80" s="112">
        <f t="shared" si="11"/>
        <v>18.06</v>
      </c>
      <c r="L80" s="366">
        <f>G80*1.08</f>
        <v>4.17</v>
      </c>
      <c r="M80" s="249">
        <f>L80/(H80+1E-133)*100-100</f>
        <v>34.52</v>
      </c>
      <c r="N80" s="247"/>
      <c r="O80" s="249">
        <f>N80/(H80+1E-106)*100-100</f>
        <v>-100</v>
      </c>
      <c r="P80" s="249">
        <f>N80-L80</f>
        <v>-4.17</v>
      </c>
      <c r="Q80" s="248"/>
      <c r="R80" s="229">
        <f>J80</f>
        <v>3.66</v>
      </c>
      <c r="S80" s="205">
        <f t="shared" si="12"/>
        <v>18.06</v>
      </c>
      <c r="T80" s="229">
        <f>3.158*1.18*1.08</f>
        <v>4.02</v>
      </c>
      <c r="U80" s="205">
        <f t="shared" si="13"/>
        <v>9.84</v>
      </c>
      <c r="V80" s="206">
        <f t="shared" si="14"/>
        <v>29.7</v>
      </c>
      <c r="W80" s="207">
        <f t="shared" si="10"/>
        <v>-0.2</v>
      </c>
      <c r="X80" s="205"/>
      <c r="Y80" s="547"/>
      <c r="AB80" s="251"/>
    </row>
    <row r="81" spans="1:28" ht="12" customHeight="1" hidden="1">
      <c r="A81" s="1"/>
      <c r="B81" s="40" t="s">
        <v>147</v>
      </c>
      <c r="C81" s="31" t="s">
        <v>132</v>
      </c>
      <c r="D81" s="214"/>
      <c r="E81" s="215"/>
      <c r="F81" s="214">
        <v>8040</v>
      </c>
      <c r="G81" s="386"/>
      <c r="H81" s="109">
        <v>8040</v>
      </c>
      <c r="I81" s="109"/>
      <c r="J81" s="109">
        <v>8040</v>
      </c>
      <c r="K81" s="107">
        <f t="shared" si="11"/>
        <v>0</v>
      </c>
      <c r="L81" s="365"/>
      <c r="M81" s="90"/>
      <c r="N81" s="213"/>
      <c r="O81" s="90"/>
      <c r="P81" s="91"/>
      <c r="Q81" s="106"/>
      <c r="R81" s="260"/>
      <c r="S81" s="239">
        <f t="shared" si="12"/>
        <v>-100</v>
      </c>
      <c r="T81" s="260"/>
      <c r="U81" s="212">
        <f t="shared" si="13"/>
        <v>-100</v>
      </c>
      <c r="V81" s="212">
        <f t="shared" si="14"/>
        <v>-100</v>
      </c>
      <c r="W81" s="211">
        <f t="shared" si="10"/>
        <v>0</v>
      </c>
      <c r="X81" s="211"/>
      <c r="Y81" s="77"/>
      <c r="AA81" s="7"/>
      <c r="AB81" s="9"/>
    </row>
    <row r="82" spans="1:28" ht="12" customHeight="1" hidden="1">
      <c r="A82" s="1"/>
      <c r="B82" s="40" t="s">
        <v>188</v>
      </c>
      <c r="C82" s="150" t="s">
        <v>161</v>
      </c>
      <c r="D82" s="217" t="s">
        <v>160</v>
      </c>
      <c r="E82" s="225" t="s">
        <v>160</v>
      </c>
      <c r="F82" s="217"/>
      <c r="G82" s="218"/>
      <c r="H82" s="109"/>
      <c r="I82" s="109"/>
      <c r="J82" s="109"/>
      <c r="K82" s="107" t="e">
        <f t="shared" si="11"/>
        <v>#DIV/0!</v>
      </c>
      <c r="L82" s="365"/>
      <c r="M82" s="90">
        <f>L82/(H82+1E-133)*100-100</f>
        <v>-100</v>
      </c>
      <c r="N82" s="213"/>
      <c r="O82" s="90">
        <f>N82/(H82+1E-106)*100-100</f>
        <v>-100</v>
      </c>
      <c r="P82" s="91">
        <f>N82-L82</f>
        <v>0</v>
      </c>
      <c r="Q82" s="106"/>
      <c r="R82" s="260"/>
      <c r="S82" s="239">
        <f t="shared" si="12"/>
        <v>-100</v>
      </c>
      <c r="T82" s="260"/>
      <c r="U82" s="212">
        <f t="shared" si="13"/>
        <v>-100</v>
      </c>
      <c r="V82" s="212">
        <f t="shared" si="14"/>
        <v>-100</v>
      </c>
      <c r="W82" s="211">
        <f t="shared" si="10"/>
        <v>0</v>
      </c>
      <c r="X82" s="211"/>
      <c r="Y82" s="77"/>
      <c r="AA82" s="7"/>
      <c r="AB82" s="9"/>
    </row>
    <row r="83" spans="1:28" ht="12" customHeight="1" hidden="1">
      <c r="A83" s="1"/>
      <c r="B83" s="40" t="s">
        <v>182</v>
      </c>
      <c r="C83" s="31" t="s">
        <v>162</v>
      </c>
      <c r="D83" s="217" t="s">
        <v>160</v>
      </c>
      <c r="E83" s="225" t="s">
        <v>160</v>
      </c>
      <c r="F83" s="217">
        <v>731</v>
      </c>
      <c r="G83" s="218"/>
      <c r="H83" s="358"/>
      <c r="I83" s="358"/>
      <c r="J83" s="358"/>
      <c r="K83" s="107" t="e">
        <f t="shared" si="11"/>
        <v>#DIV/0!</v>
      </c>
      <c r="L83" s="365"/>
      <c r="M83" s="90">
        <f>L83/(H83+1E-133)*100-100</f>
        <v>-100</v>
      </c>
      <c r="N83" s="213"/>
      <c r="O83" s="90">
        <f>N83/(H83+1E-106)*100-100</f>
        <v>-100</v>
      </c>
      <c r="P83" s="91">
        <f>N83-L83</f>
        <v>0</v>
      </c>
      <c r="Q83" s="106"/>
      <c r="R83" s="260"/>
      <c r="S83" s="239">
        <f t="shared" si="12"/>
        <v>-100</v>
      </c>
      <c r="T83" s="260"/>
      <c r="U83" s="212">
        <f t="shared" si="13"/>
        <v>-100</v>
      </c>
      <c r="V83" s="212">
        <f t="shared" si="14"/>
        <v>-100</v>
      </c>
      <c r="W83" s="211">
        <f t="shared" si="10"/>
        <v>0</v>
      </c>
      <c r="X83" s="211"/>
      <c r="Y83" s="77"/>
      <c r="AA83" s="7"/>
      <c r="AB83" s="9"/>
    </row>
    <row r="84" spans="1:28" ht="12" customHeight="1" hidden="1">
      <c r="A84" s="1" t="s">
        <v>62</v>
      </c>
      <c r="B84" s="39" t="s">
        <v>121</v>
      </c>
      <c r="C84" s="31"/>
      <c r="D84" s="217"/>
      <c r="E84" s="225"/>
      <c r="F84" s="217"/>
      <c r="G84" s="218"/>
      <c r="H84" s="148"/>
      <c r="I84" s="148"/>
      <c r="J84" s="148"/>
      <c r="K84" s="107" t="e">
        <f t="shared" si="11"/>
        <v>#DIV/0!</v>
      </c>
      <c r="L84" s="226"/>
      <c r="M84" s="106"/>
      <c r="N84" s="220"/>
      <c r="O84" s="90"/>
      <c r="P84" s="91"/>
      <c r="Q84" s="106"/>
      <c r="R84" s="260"/>
      <c r="S84" s="239">
        <f t="shared" si="12"/>
        <v>-100</v>
      </c>
      <c r="T84" s="260"/>
      <c r="U84" s="212">
        <f t="shared" si="13"/>
        <v>-100</v>
      </c>
      <c r="V84" s="212">
        <f t="shared" si="14"/>
        <v>-100</v>
      </c>
      <c r="W84" s="211">
        <f t="shared" si="10"/>
        <v>0</v>
      </c>
      <c r="X84" s="211"/>
      <c r="Y84" s="77"/>
      <c r="AA84" s="7"/>
      <c r="AB84" s="9"/>
    </row>
    <row r="85" spans="1:28" ht="12" customHeight="1" hidden="1">
      <c r="A85" s="1"/>
      <c r="B85" s="40" t="s">
        <v>28</v>
      </c>
      <c r="C85" s="31" t="s">
        <v>44</v>
      </c>
      <c r="D85" s="214"/>
      <c r="E85" s="215"/>
      <c r="F85" s="214">
        <v>0</v>
      </c>
      <c r="G85" s="386"/>
      <c r="H85" s="105">
        <v>0</v>
      </c>
      <c r="I85" s="105"/>
      <c r="J85" s="105">
        <v>0</v>
      </c>
      <c r="K85" s="107" t="e">
        <f t="shared" si="11"/>
        <v>#DIV/0!</v>
      </c>
      <c r="L85" s="226">
        <v>0</v>
      </c>
      <c r="M85" s="90">
        <f>L85/(H85+1E-133)*100-100</f>
        <v>-100</v>
      </c>
      <c r="N85" s="220"/>
      <c r="O85" s="90">
        <f>N85/(H85+1E-106)*100-100</f>
        <v>-100</v>
      </c>
      <c r="P85" s="91">
        <f>N85-L85</f>
        <v>0</v>
      </c>
      <c r="Q85" s="106"/>
      <c r="R85" s="260"/>
      <c r="S85" s="239">
        <f t="shared" si="12"/>
        <v>-100</v>
      </c>
      <c r="T85" s="260"/>
      <c r="U85" s="212">
        <f t="shared" si="13"/>
        <v>-100</v>
      </c>
      <c r="V85" s="212">
        <f t="shared" si="14"/>
        <v>-100</v>
      </c>
      <c r="W85" s="211">
        <f t="shared" si="10"/>
        <v>0</v>
      </c>
      <c r="X85" s="211"/>
      <c r="Y85" s="77"/>
      <c r="AA85" s="7"/>
      <c r="AB85" s="9"/>
    </row>
    <row r="86" spans="1:28" s="250" customFormat="1" ht="12" customHeight="1" hidden="1">
      <c r="A86" s="51"/>
      <c r="B86" s="39" t="s">
        <v>33</v>
      </c>
      <c r="C86" s="52" t="s">
        <v>45</v>
      </c>
      <c r="D86" s="261"/>
      <c r="E86" s="262">
        <f>E143/(E85+1E-107)</f>
        <v>0</v>
      </c>
      <c r="F86" s="360"/>
      <c r="G86" s="388"/>
      <c r="H86" s="109"/>
      <c r="I86" s="109"/>
      <c r="J86" s="109"/>
      <c r="K86" s="107" t="e">
        <f t="shared" si="11"/>
        <v>#DIV/0!</v>
      </c>
      <c r="L86" s="365"/>
      <c r="M86" s="88">
        <f>L86/(H86+1E-133)*100-100</f>
        <v>-100</v>
      </c>
      <c r="N86" s="247"/>
      <c r="O86" s="88">
        <f>N86/(H86+1E-106)*100-100</f>
        <v>-100</v>
      </c>
      <c r="P86" s="89">
        <f>N86-L86</f>
        <v>0</v>
      </c>
      <c r="Q86" s="87"/>
      <c r="R86" s="263"/>
      <c r="S86" s="239">
        <f t="shared" si="12"/>
        <v>-100</v>
      </c>
      <c r="T86" s="263"/>
      <c r="U86" s="206">
        <f t="shared" si="13"/>
        <v>-100</v>
      </c>
      <c r="V86" s="212">
        <f t="shared" si="14"/>
        <v>-100</v>
      </c>
      <c r="W86" s="207">
        <f t="shared" si="10"/>
        <v>0</v>
      </c>
      <c r="X86" s="264"/>
      <c r="Y86" s="77"/>
      <c r="AB86" s="251"/>
    </row>
    <row r="87" spans="1:28" ht="12" customHeight="1" hidden="1">
      <c r="A87" s="1"/>
      <c r="B87" s="40" t="s">
        <v>147</v>
      </c>
      <c r="C87" s="31" t="s">
        <v>132</v>
      </c>
      <c r="D87" s="214"/>
      <c r="E87" s="215"/>
      <c r="F87" s="214"/>
      <c r="G87" s="386"/>
      <c r="H87" s="109"/>
      <c r="I87" s="109"/>
      <c r="J87" s="109"/>
      <c r="K87" s="107" t="e">
        <f t="shared" si="11"/>
        <v>#DIV/0!</v>
      </c>
      <c r="L87" s="365"/>
      <c r="M87" s="90"/>
      <c r="N87" s="213"/>
      <c r="O87" s="90"/>
      <c r="P87" s="91"/>
      <c r="Q87" s="106"/>
      <c r="R87" s="260"/>
      <c r="S87" s="239">
        <f t="shared" si="12"/>
        <v>-100</v>
      </c>
      <c r="T87" s="260"/>
      <c r="U87" s="212">
        <f t="shared" si="13"/>
        <v>-100</v>
      </c>
      <c r="V87" s="212">
        <f t="shared" si="14"/>
        <v>-100</v>
      </c>
      <c r="W87" s="211">
        <f t="shared" si="10"/>
        <v>0</v>
      </c>
      <c r="X87" s="211"/>
      <c r="Y87" s="77"/>
      <c r="AA87" s="7"/>
      <c r="AB87" s="9"/>
    </row>
    <row r="88" spans="1:28" ht="12" customHeight="1" hidden="1">
      <c r="A88" s="1"/>
      <c r="B88" s="40" t="s">
        <v>188</v>
      </c>
      <c r="C88" s="150" t="s">
        <v>161</v>
      </c>
      <c r="D88" s="217" t="s">
        <v>160</v>
      </c>
      <c r="E88" s="225" t="s">
        <v>160</v>
      </c>
      <c r="F88" s="217"/>
      <c r="G88" s="218"/>
      <c r="H88" s="109"/>
      <c r="I88" s="109"/>
      <c r="J88" s="109"/>
      <c r="K88" s="107" t="e">
        <f t="shared" si="11"/>
        <v>#DIV/0!</v>
      </c>
      <c r="L88" s="365"/>
      <c r="M88" s="90">
        <f>L88/(H88+1E-133)*100-100</f>
        <v>-100</v>
      </c>
      <c r="N88" s="213"/>
      <c r="O88" s="90">
        <f>N88/(H88+1E-106)*100-100</f>
        <v>-100</v>
      </c>
      <c r="P88" s="91">
        <f>N88-L88</f>
        <v>0</v>
      </c>
      <c r="Q88" s="106"/>
      <c r="R88" s="260"/>
      <c r="S88" s="239">
        <f t="shared" si="12"/>
        <v>-100</v>
      </c>
      <c r="T88" s="260"/>
      <c r="U88" s="212">
        <f t="shared" si="13"/>
        <v>-100</v>
      </c>
      <c r="V88" s="212">
        <f t="shared" si="14"/>
        <v>-100</v>
      </c>
      <c r="W88" s="211">
        <f t="shared" si="10"/>
        <v>0</v>
      </c>
      <c r="X88" s="211"/>
      <c r="Y88" s="77"/>
      <c r="AA88" s="7"/>
      <c r="AB88" s="9"/>
    </row>
    <row r="89" spans="1:28" ht="12" customHeight="1" hidden="1">
      <c r="A89" s="1"/>
      <c r="B89" s="40" t="s">
        <v>182</v>
      </c>
      <c r="C89" s="31" t="s">
        <v>162</v>
      </c>
      <c r="D89" s="217" t="s">
        <v>160</v>
      </c>
      <c r="E89" s="225" t="s">
        <v>160</v>
      </c>
      <c r="F89" s="217"/>
      <c r="G89" s="218"/>
      <c r="H89" s="109"/>
      <c r="I89" s="109"/>
      <c r="J89" s="109"/>
      <c r="K89" s="107" t="e">
        <f t="shared" si="11"/>
        <v>#DIV/0!</v>
      </c>
      <c r="L89" s="365"/>
      <c r="M89" s="90">
        <f>L89/(H89+1E-133)*100-100</f>
        <v>-100</v>
      </c>
      <c r="N89" s="213"/>
      <c r="O89" s="90">
        <f>N89/(H89+1E-106)*100-100</f>
        <v>-100</v>
      </c>
      <c r="P89" s="91">
        <f>N89-L89</f>
        <v>0</v>
      </c>
      <c r="Q89" s="106"/>
      <c r="R89" s="260"/>
      <c r="S89" s="239">
        <f t="shared" si="12"/>
        <v>-100</v>
      </c>
      <c r="T89" s="260"/>
      <c r="U89" s="212">
        <f t="shared" si="13"/>
        <v>-100</v>
      </c>
      <c r="V89" s="212">
        <f t="shared" si="14"/>
        <v>-100</v>
      </c>
      <c r="W89" s="211">
        <f t="shared" si="10"/>
        <v>0</v>
      </c>
      <c r="X89" s="211"/>
      <c r="Y89" s="77"/>
      <c r="AA89" s="7"/>
      <c r="AB89" s="9"/>
    </row>
    <row r="90" spans="1:28" ht="12" customHeight="1" hidden="1">
      <c r="A90" s="1" t="s">
        <v>62</v>
      </c>
      <c r="B90" s="39" t="s">
        <v>122</v>
      </c>
      <c r="C90" s="31"/>
      <c r="D90" s="217"/>
      <c r="E90" s="225"/>
      <c r="F90" s="217"/>
      <c r="G90" s="218"/>
      <c r="H90" s="148"/>
      <c r="I90" s="148"/>
      <c r="J90" s="148"/>
      <c r="K90" s="107" t="e">
        <f t="shared" si="11"/>
        <v>#DIV/0!</v>
      </c>
      <c r="L90" s="226"/>
      <c r="M90" s="106"/>
      <c r="N90" s="220"/>
      <c r="O90" s="90"/>
      <c r="P90" s="91"/>
      <c r="Q90" s="106"/>
      <c r="R90" s="260"/>
      <c r="S90" s="239">
        <f t="shared" si="12"/>
        <v>-100</v>
      </c>
      <c r="T90" s="260"/>
      <c r="U90" s="212">
        <f t="shared" si="13"/>
        <v>-100</v>
      </c>
      <c r="V90" s="212">
        <f t="shared" si="14"/>
        <v>-100</v>
      </c>
      <c r="W90" s="211">
        <f t="shared" si="10"/>
        <v>0</v>
      </c>
      <c r="X90" s="211"/>
      <c r="Y90" s="77"/>
      <c r="AA90" s="7"/>
      <c r="AB90" s="9"/>
    </row>
    <row r="91" spans="1:28" ht="12" customHeight="1" hidden="1">
      <c r="A91" s="1"/>
      <c r="B91" s="40" t="s">
        <v>28</v>
      </c>
      <c r="C91" s="31" t="s">
        <v>44</v>
      </c>
      <c r="D91" s="214"/>
      <c r="E91" s="215"/>
      <c r="F91" s="214">
        <v>0</v>
      </c>
      <c r="G91" s="386"/>
      <c r="H91" s="105">
        <v>0</v>
      </c>
      <c r="I91" s="105"/>
      <c r="J91" s="105">
        <v>0</v>
      </c>
      <c r="K91" s="107" t="e">
        <f t="shared" si="11"/>
        <v>#DIV/0!</v>
      </c>
      <c r="L91" s="226">
        <v>0</v>
      </c>
      <c r="M91" s="90">
        <f>L91/(H91+1E-133)*100-100</f>
        <v>-100</v>
      </c>
      <c r="N91" s="220"/>
      <c r="O91" s="90">
        <f>N91/(H91+1E-106)*100-100</f>
        <v>-100</v>
      </c>
      <c r="P91" s="91">
        <f>N91-L91</f>
        <v>0</v>
      </c>
      <c r="Q91" s="106"/>
      <c r="R91" s="260"/>
      <c r="S91" s="239">
        <f t="shared" si="12"/>
        <v>-100</v>
      </c>
      <c r="T91" s="260"/>
      <c r="U91" s="212">
        <f t="shared" si="13"/>
        <v>-100</v>
      </c>
      <c r="V91" s="212">
        <f t="shared" si="14"/>
        <v>-100</v>
      </c>
      <c r="W91" s="211">
        <f t="shared" si="10"/>
        <v>0</v>
      </c>
      <c r="X91" s="211"/>
      <c r="Y91" s="77"/>
      <c r="AA91" s="7"/>
      <c r="AB91" s="9"/>
    </row>
    <row r="92" spans="1:28" s="250" customFormat="1" ht="12" customHeight="1" hidden="1">
      <c r="A92" s="51"/>
      <c r="B92" s="39" t="s">
        <v>33</v>
      </c>
      <c r="C92" s="52" t="s">
        <v>45</v>
      </c>
      <c r="D92" s="261"/>
      <c r="E92" s="262">
        <f>E144/(E91+1E-107)</f>
        <v>0</v>
      </c>
      <c r="F92" s="360"/>
      <c r="G92" s="388"/>
      <c r="H92" s="109"/>
      <c r="I92" s="109"/>
      <c r="J92" s="109"/>
      <c r="K92" s="107" t="e">
        <f t="shared" si="11"/>
        <v>#DIV/0!</v>
      </c>
      <c r="L92" s="365"/>
      <c r="M92" s="88">
        <f>L92/(H92+1E-133)*100-100</f>
        <v>-100</v>
      </c>
      <c r="N92" s="247"/>
      <c r="O92" s="88">
        <f>N92/(H92+1E-106)*100-100</f>
        <v>-100</v>
      </c>
      <c r="P92" s="89">
        <f>N92-L92</f>
        <v>0</v>
      </c>
      <c r="Q92" s="87"/>
      <c r="R92" s="229"/>
      <c r="S92" s="239">
        <f t="shared" si="12"/>
        <v>-100</v>
      </c>
      <c r="T92" s="229"/>
      <c r="U92" s="206">
        <f t="shared" si="13"/>
        <v>-100</v>
      </c>
      <c r="V92" s="212">
        <f t="shared" si="14"/>
        <v>-100</v>
      </c>
      <c r="W92" s="207">
        <f t="shared" si="10"/>
        <v>0</v>
      </c>
      <c r="X92" s="205"/>
      <c r="Y92" s="77"/>
      <c r="AB92" s="251"/>
    </row>
    <row r="93" spans="1:28" ht="12" customHeight="1" hidden="1">
      <c r="A93" s="1"/>
      <c r="B93" s="40" t="s">
        <v>147</v>
      </c>
      <c r="C93" s="31" t="s">
        <v>132</v>
      </c>
      <c r="D93" s="214"/>
      <c r="E93" s="215"/>
      <c r="F93" s="214"/>
      <c r="G93" s="386"/>
      <c r="H93" s="109"/>
      <c r="I93" s="109"/>
      <c r="J93" s="109"/>
      <c r="K93" s="107" t="e">
        <f t="shared" si="11"/>
        <v>#DIV/0!</v>
      </c>
      <c r="L93" s="365"/>
      <c r="M93" s="90"/>
      <c r="N93" s="213"/>
      <c r="O93" s="90"/>
      <c r="P93" s="91"/>
      <c r="Q93" s="106"/>
      <c r="R93" s="260"/>
      <c r="S93" s="239">
        <f t="shared" si="12"/>
        <v>-100</v>
      </c>
      <c r="T93" s="260"/>
      <c r="U93" s="212">
        <f t="shared" si="13"/>
        <v>-100</v>
      </c>
      <c r="V93" s="212">
        <f t="shared" si="14"/>
        <v>-100</v>
      </c>
      <c r="W93" s="211">
        <f t="shared" si="10"/>
        <v>0</v>
      </c>
      <c r="X93" s="211"/>
      <c r="Y93" s="77"/>
      <c r="AA93" s="7"/>
      <c r="AB93" s="9"/>
    </row>
    <row r="94" spans="1:28" ht="12" customHeight="1" hidden="1">
      <c r="A94" s="1"/>
      <c r="B94" s="40" t="s">
        <v>188</v>
      </c>
      <c r="C94" s="150" t="s">
        <v>161</v>
      </c>
      <c r="D94" s="217" t="s">
        <v>160</v>
      </c>
      <c r="E94" s="225" t="s">
        <v>160</v>
      </c>
      <c r="F94" s="217"/>
      <c r="G94" s="218"/>
      <c r="H94" s="109"/>
      <c r="I94" s="109"/>
      <c r="J94" s="109"/>
      <c r="K94" s="107" t="e">
        <f t="shared" si="11"/>
        <v>#DIV/0!</v>
      </c>
      <c r="L94" s="365"/>
      <c r="M94" s="90">
        <f>L94/(H94+1E-133)*100-100</f>
        <v>-100</v>
      </c>
      <c r="N94" s="213"/>
      <c r="O94" s="90">
        <f>N94/(H94+1E-106)*100-100</f>
        <v>-100</v>
      </c>
      <c r="P94" s="91">
        <f>N94-L94</f>
        <v>0</v>
      </c>
      <c r="Q94" s="106"/>
      <c r="R94" s="260"/>
      <c r="S94" s="239">
        <f t="shared" si="12"/>
        <v>-100</v>
      </c>
      <c r="T94" s="260"/>
      <c r="U94" s="212">
        <f t="shared" si="13"/>
        <v>-100</v>
      </c>
      <c r="V94" s="212">
        <f t="shared" si="14"/>
        <v>-100</v>
      </c>
      <c r="W94" s="211">
        <f t="shared" si="10"/>
        <v>0</v>
      </c>
      <c r="X94" s="211"/>
      <c r="Y94" s="77"/>
      <c r="AA94" s="7"/>
      <c r="AB94" s="9"/>
    </row>
    <row r="95" spans="1:28" ht="12" customHeight="1" hidden="1">
      <c r="A95" s="1"/>
      <c r="B95" s="40" t="s">
        <v>182</v>
      </c>
      <c r="C95" s="31" t="s">
        <v>162</v>
      </c>
      <c r="D95" s="217" t="s">
        <v>160</v>
      </c>
      <c r="E95" s="225" t="s">
        <v>160</v>
      </c>
      <c r="F95" s="217"/>
      <c r="G95" s="218"/>
      <c r="H95" s="109"/>
      <c r="I95" s="109"/>
      <c r="J95" s="109"/>
      <c r="K95" s="107" t="e">
        <f t="shared" si="11"/>
        <v>#DIV/0!</v>
      </c>
      <c r="L95" s="365"/>
      <c r="M95" s="90">
        <f>L95/(H95+1E-133)*100-100</f>
        <v>-100</v>
      </c>
      <c r="N95" s="213"/>
      <c r="O95" s="90">
        <f>N95/(H95+1E-106)*100-100</f>
        <v>-100</v>
      </c>
      <c r="P95" s="91">
        <f>N95-L95</f>
        <v>0</v>
      </c>
      <c r="Q95" s="106"/>
      <c r="R95" s="260"/>
      <c r="S95" s="239">
        <f t="shared" si="12"/>
        <v>-100</v>
      </c>
      <c r="T95" s="260"/>
      <c r="U95" s="212">
        <f t="shared" si="13"/>
        <v>-100</v>
      </c>
      <c r="V95" s="212">
        <f t="shared" si="14"/>
        <v>-100</v>
      </c>
      <c r="W95" s="211">
        <f t="shared" si="10"/>
        <v>0</v>
      </c>
      <c r="X95" s="211"/>
      <c r="Y95" s="77"/>
      <c r="AA95" s="7"/>
      <c r="AB95" s="9"/>
    </row>
    <row r="96" spans="1:28" ht="12" customHeight="1" hidden="1">
      <c r="A96" s="1" t="s">
        <v>62</v>
      </c>
      <c r="B96" s="39" t="s">
        <v>123</v>
      </c>
      <c r="C96" s="31"/>
      <c r="D96" s="217"/>
      <c r="E96" s="225"/>
      <c r="F96" s="217"/>
      <c r="G96" s="218"/>
      <c r="H96" s="148"/>
      <c r="I96" s="148"/>
      <c r="J96" s="148"/>
      <c r="K96" s="107" t="e">
        <f t="shared" si="11"/>
        <v>#DIV/0!</v>
      </c>
      <c r="L96" s="226"/>
      <c r="M96" s="106"/>
      <c r="N96" s="220"/>
      <c r="O96" s="90"/>
      <c r="P96" s="91"/>
      <c r="Q96" s="106"/>
      <c r="R96" s="260"/>
      <c r="S96" s="239">
        <f t="shared" si="12"/>
        <v>-100</v>
      </c>
      <c r="T96" s="260"/>
      <c r="U96" s="212"/>
      <c r="V96" s="212">
        <f t="shared" si="14"/>
        <v>-100</v>
      </c>
      <c r="W96" s="211"/>
      <c r="X96" s="211"/>
      <c r="Y96" s="77"/>
      <c r="AA96" s="7"/>
      <c r="AB96" s="9"/>
    </row>
    <row r="97" spans="1:28" ht="12" customHeight="1" hidden="1">
      <c r="A97" s="1"/>
      <c r="B97" s="40" t="s">
        <v>28</v>
      </c>
      <c r="C97" s="31" t="s">
        <v>44</v>
      </c>
      <c r="D97" s="214"/>
      <c r="E97" s="215"/>
      <c r="F97" s="214">
        <v>0</v>
      </c>
      <c r="G97" s="386"/>
      <c r="H97" s="105">
        <v>0</v>
      </c>
      <c r="I97" s="105"/>
      <c r="J97" s="105">
        <v>0</v>
      </c>
      <c r="K97" s="107" t="e">
        <f t="shared" si="11"/>
        <v>#DIV/0!</v>
      </c>
      <c r="L97" s="226">
        <f>H97</f>
        <v>0</v>
      </c>
      <c r="M97" s="90">
        <f>L97/(H97+1E-133)*100-100</f>
        <v>-100</v>
      </c>
      <c r="N97" s="220"/>
      <c r="O97" s="90">
        <f>N97/(H97+1E-106)*100-100</f>
        <v>-100</v>
      </c>
      <c r="P97" s="91">
        <f>N97-L97</f>
        <v>0</v>
      </c>
      <c r="Q97" s="106"/>
      <c r="R97" s="260">
        <f>H97</f>
        <v>0</v>
      </c>
      <c r="S97" s="239">
        <f t="shared" si="12"/>
        <v>-100</v>
      </c>
      <c r="T97" s="260">
        <f>R97</f>
        <v>0</v>
      </c>
      <c r="U97" s="212">
        <f t="shared" si="13"/>
        <v>-100</v>
      </c>
      <c r="V97" s="212">
        <f t="shared" si="14"/>
        <v>-100</v>
      </c>
      <c r="W97" s="211">
        <f t="shared" si="10"/>
        <v>0</v>
      </c>
      <c r="X97" s="211"/>
      <c r="Y97" s="77"/>
      <c r="AA97" s="7"/>
      <c r="AB97" s="9"/>
    </row>
    <row r="98" spans="1:28" s="250" customFormat="1" ht="12" customHeight="1" hidden="1">
      <c r="A98" s="51"/>
      <c r="B98" s="39" t="s">
        <v>33</v>
      </c>
      <c r="C98" s="52" t="s">
        <v>45</v>
      </c>
      <c r="D98" s="261"/>
      <c r="E98" s="262">
        <f>E145/(E97+1E-107)</f>
        <v>0</v>
      </c>
      <c r="F98" s="360"/>
      <c r="G98" s="388"/>
      <c r="H98" s="109"/>
      <c r="I98" s="109"/>
      <c r="J98" s="109"/>
      <c r="K98" s="107" t="e">
        <f t="shared" si="11"/>
        <v>#DIV/0!</v>
      </c>
      <c r="L98" s="365">
        <f>T98</f>
        <v>0</v>
      </c>
      <c r="M98" s="88">
        <f>L98/(H98+1E-133)*100-100</f>
        <v>-100</v>
      </c>
      <c r="N98" s="247"/>
      <c r="O98" s="88">
        <f>N98/(H98+1E-106)*100-100</f>
        <v>-100</v>
      </c>
      <c r="P98" s="89">
        <f>N98-L98</f>
        <v>0</v>
      </c>
      <c r="Q98" s="87"/>
      <c r="R98" s="263">
        <f>H98</f>
        <v>0</v>
      </c>
      <c r="S98" s="239">
        <f t="shared" si="12"/>
        <v>-100</v>
      </c>
      <c r="T98" s="229">
        <f>H98*1.08</f>
        <v>0</v>
      </c>
      <c r="U98" s="206">
        <f t="shared" si="13"/>
        <v>-100</v>
      </c>
      <c r="V98" s="212">
        <f t="shared" si="14"/>
        <v>-100</v>
      </c>
      <c r="W98" s="207">
        <f t="shared" si="10"/>
        <v>0</v>
      </c>
      <c r="X98" s="264"/>
      <c r="Y98" s="238" t="s">
        <v>210</v>
      </c>
      <c r="AB98" s="251"/>
    </row>
    <row r="99" spans="1:28" ht="12" customHeight="1" hidden="1">
      <c r="A99" s="1"/>
      <c r="B99" s="40" t="s">
        <v>147</v>
      </c>
      <c r="C99" s="31" t="s">
        <v>132</v>
      </c>
      <c r="D99" s="214"/>
      <c r="E99" s="215"/>
      <c r="F99" s="214"/>
      <c r="G99" s="386"/>
      <c r="H99" s="109"/>
      <c r="I99" s="109"/>
      <c r="J99" s="109"/>
      <c r="K99" s="107" t="e">
        <f t="shared" si="11"/>
        <v>#DIV/0!</v>
      </c>
      <c r="L99" s="365"/>
      <c r="M99" s="90"/>
      <c r="N99" s="213"/>
      <c r="O99" s="90"/>
      <c r="P99" s="91"/>
      <c r="Q99" s="106"/>
      <c r="R99" s="260"/>
      <c r="S99" s="239">
        <f t="shared" si="12"/>
        <v>-100</v>
      </c>
      <c r="T99" s="260"/>
      <c r="U99" s="212">
        <f t="shared" si="13"/>
        <v>-100</v>
      </c>
      <c r="V99" s="212">
        <f t="shared" si="14"/>
        <v>-100</v>
      </c>
      <c r="W99" s="211">
        <f t="shared" si="10"/>
        <v>0</v>
      </c>
      <c r="X99" s="211"/>
      <c r="Y99" s="77"/>
      <c r="AA99" s="7"/>
      <c r="AB99" s="9"/>
    </row>
    <row r="100" spans="1:28" ht="12" customHeight="1" hidden="1">
      <c r="A100" s="1"/>
      <c r="B100" s="40" t="s">
        <v>188</v>
      </c>
      <c r="C100" s="150" t="s">
        <v>161</v>
      </c>
      <c r="D100" s="217" t="s">
        <v>160</v>
      </c>
      <c r="E100" s="225" t="s">
        <v>160</v>
      </c>
      <c r="F100" s="217"/>
      <c r="G100" s="218"/>
      <c r="H100" s="109"/>
      <c r="I100" s="109"/>
      <c r="J100" s="109"/>
      <c r="K100" s="107" t="e">
        <f t="shared" si="11"/>
        <v>#DIV/0!</v>
      </c>
      <c r="L100" s="365"/>
      <c r="M100" s="90">
        <f>L100/(H100+1E-133)*100-100</f>
        <v>-100</v>
      </c>
      <c r="N100" s="213"/>
      <c r="O100" s="90">
        <f>N100/(H100+1E-106)*100-100</f>
        <v>-100</v>
      </c>
      <c r="P100" s="91">
        <f>N100-L100</f>
        <v>0</v>
      </c>
      <c r="Q100" s="106"/>
      <c r="R100" s="260"/>
      <c r="S100" s="239">
        <f t="shared" si="12"/>
        <v>-100</v>
      </c>
      <c r="T100" s="260"/>
      <c r="U100" s="212">
        <f t="shared" si="13"/>
        <v>-100</v>
      </c>
      <c r="V100" s="212">
        <f t="shared" si="14"/>
        <v>-100</v>
      </c>
      <c r="W100" s="211">
        <f t="shared" si="10"/>
        <v>0</v>
      </c>
      <c r="X100" s="211"/>
      <c r="Y100" s="77"/>
      <c r="AA100" s="7"/>
      <c r="AB100" s="9"/>
    </row>
    <row r="101" spans="1:28" ht="12" customHeight="1" hidden="1">
      <c r="A101" s="1"/>
      <c r="B101" s="40" t="s">
        <v>182</v>
      </c>
      <c r="C101" s="31" t="s">
        <v>162</v>
      </c>
      <c r="D101" s="217" t="s">
        <v>160</v>
      </c>
      <c r="E101" s="225" t="s">
        <v>160</v>
      </c>
      <c r="F101" s="217"/>
      <c r="G101" s="218"/>
      <c r="H101" s="109"/>
      <c r="I101" s="109"/>
      <c r="J101" s="109"/>
      <c r="K101" s="107" t="e">
        <f t="shared" si="11"/>
        <v>#DIV/0!</v>
      </c>
      <c r="L101" s="365"/>
      <c r="M101" s="90">
        <f>L101/(H101+1E-133)*100-100</f>
        <v>-100</v>
      </c>
      <c r="N101" s="213"/>
      <c r="O101" s="90">
        <f>N101/(H101+1E-106)*100-100</f>
        <v>-100</v>
      </c>
      <c r="P101" s="91">
        <f>N101-L101</f>
        <v>0</v>
      </c>
      <c r="Q101" s="106"/>
      <c r="R101" s="260"/>
      <c r="S101" s="239">
        <f t="shared" si="12"/>
        <v>-100</v>
      </c>
      <c r="T101" s="260"/>
      <c r="U101" s="212">
        <f t="shared" si="13"/>
        <v>-100</v>
      </c>
      <c r="V101" s="212">
        <f t="shared" si="14"/>
        <v>-100</v>
      </c>
      <c r="W101" s="211">
        <f t="shared" si="10"/>
        <v>0</v>
      </c>
      <c r="X101" s="211"/>
      <c r="Y101" s="77"/>
      <c r="AA101" s="7"/>
      <c r="AB101" s="9"/>
    </row>
    <row r="102" spans="1:28" ht="12" customHeight="1" hidden="1">
      <c r="A102" s="1" t="s">
        <v>62</v>
      </c>
      <c r="B102" s="39" t="s">
        <v>142</v>
      </c>
      <c r="C102" s="31" t="s">
        <v>44</v>
      </c>
      <c r="D102" s="257">
        <f>D104+D110+D116+D122</f>
        <v>0</v>
      </c>
      <c r="E102" s="258">
        <f>E104+E110+E116+E122</f>
        <v>0</v>
      </c>
      <c r="F102" s="257">
        <v>0</v>
      </c>
      <c r="G102" s="258"/>
      <c r="H102" s="157">
        <v>0</v>
      </c>
      <c r="I102" s="157"/>
      <c r="J102" s="157">
        <v>0</v>
      </c>
      <c r="K102" s="107" t="e">
        <f t="shared" si="11"/>
        <v>#DIV/0!</v>
      </c>
      <c r="L102" s="370">
        <v>46.81</v>
      </c>
      <c r="M102" s="92"/>
      <c r="N102" s="259">
        <f>N104+N110+N116+N122</f>
        <v>0</v>
      </c>
      <c r="O102" s="106"/>
      <c r="P102" s="92"/>
      <c r="Q102" s="106"/>
      <c r="R102" s="260">
        <f>R104+R110+R116+R122</f>
        <v>269.68</v>
      </c>
      <c r="S102" s="239">
        <f t="shared" si="12"/>
        <v>2.6968E+110</v>
      </c>
      <c r="T102" s="260">
        <f>T104+T110+T116+T122</f>
        <v>0</v>
      </c>
      <c r="U102" s="212">
        <f t="shared" si="13"/>
        <v>-100</v>
      </c>
      <c r="V102" s="212">
        <f t="shared" si="14"/>
        <v>-100</v>
      </c>
      <c r="W102" s="211">
        <f t="shared" si="10"/>
        <v>-46.8</v>
      </c>
      <c r="X102" s="211"/>
      <c r="Y102" s="77"/>
      <c r="AA102" s="7"/>
      <c r="AB102" s="9"/>
    </row>
    <row r="103" spans="1:28" ht="12" customHeight="1" hidden="1">
      <c r="A103" s="1" t="s">
        <v>62</v>
      </c>
      <c r="B103" s="39" t="s">
        <v>120</v>
      </c>
      <c r="C103" s="31"/>
      <c r="D103" s="217"/>
      <c r="E103" s="225"/>
      <c r="F103" s="217"/>
      <c r="G103" s="218"/>
      <c r="H103" s="105"/>
      <c r="I103" s="105"/>
      <c r="J103" s="105"/>
      <c r="K103" s="107" t="e">
        <f t="shared" si="11"/>
        <v>#DIV/0!</v>
      </c>
      <c r="L103" s="226"/>
      <c r="M103" s="92"/>
      <c r="N103" s="220"/>
      <c r="O103" s="106"/>
      <c r="P103" s="92"/>
      <c r="Q103" s="106"/>
      <c r="R103" s="260"/>
      <c r="S103" s="239">
        <f t="shared" si="12"/>
        <v>-100</v>
      </c>
      <c r="T103" s="260"/>
      <c r="U103" s="212">
        <f t="shared" si="13"/>
        <v>-100</v>
      </c>
      <c r="V103" s="212">
        <f t="shared" si="14"/>
        <v>-100</v>
      </c>
      <c r="W103" s="211">
        <f t="shared" si="10"/>
        <v>0</v>
      </c>
      <c r="X103" s="211"/>
      <c r="Y103" s="77"/>
      <c r="AA103" s="7"/>
      <c r="AB103" s="9"/>
    </row>
    <row r="104" spans="1:28" ht="12" customHeight="1" hidden="1">
      <c r="A104" s="1"/>
      <c r="B104" s="40" t="s">
        <v>28</v>
      </c>
      <c r="C104" s="31" t="s">
        <v>44</v>
      </c>
      <c r="D104" s="214"/>
      <c r="E104" s="215"/>
      <c r="F104" s="214">
        <v>0</v>
      </c>
      <c r="G104" s="386"/>
      <c r="H104" s="105">
        <v>0</v>
      </c>
      <c r="I104" s="105"/>
      <c r="J104" s="105">
        <v>0</v>
      </c>
      <c r="K104" s="107" t="e">
        <f t="shared" si="11"/>
        <v>#DIV/0!</v>
      </c>
      <c r="L104" s="226">
        <v>0</v>
      </c>
      <c r="M104" s="90">
        <f>L104/(H104+1E-133)*100-100</f>
        <v>-100</v>
      </c>
      <c r="N104" s="220"/>
      <c r="O104" s="90">
        <f>N104/(H104+1E-106)*100-100</f>
        <v>-100</v>
      </c>
      <c r="P104" s="91">
        <f>N104-L104</f>
        <v>0</v>
      </c>
      <c r="Q104" s="106"/>
      <c r="R104" s="260"/>
      <c r="S104" s="239">
        <f t="shared" si="12"/>
        <v>-100</v>
      </c>
      <c r="T104" s="260"/>
      <c r="U104" s="212">
        <f t="shared" si="13"/>
        <v>-100</v>
      </c>
      <c r="V104" s="212">
        <f t="shared" si="14"/>
        <v>-100</v>
      </c>
      <c r="W104" s="211">
        <f t="shared" si="10"/>
        <v>0</v>
      </c>
      <c r="X104" s="211"/>
      <c r="Y104" s="77"/>
      <c r="AA104" s="7"/>
      <c r="AB104" s="9"/>
    </row>
    <row r="105" spans="1:28" s="250" customFormat="1" ht="12" customHeight="1" hidden="1">
      <c r="A105" s="51"/>
      <c r="B105" s="39" t="s">
        <v>33</v>
      </c>
      <c r="C105" s="52" t="s">
        <v>45</v>
      </c>
      <c r="D105" s="261"/>
      <c r="E105" s="262">
        <f>E147/(E104+1E-107)</f>
        <v>0</v>
      </c>
      <c r="F105" s="360"/>
      <c r="G105" s="388"/>
      <c r="H105" s="98"/>
      <c r="I105" s="98"/>
      <c r="J105" s="98"/>
      <c r="K105" s="107" t="e">
        <f t="shared" si="11"/>
        <v>#DIV/0!</v>
      </c>
      <c r="L105" s="365"/>
      <c r="M105" s="88">
        <f>L105/(H105+1E-133)*100-100</f>
        <v>-100</v>
      </c>
      <c r="N105" s="247"/>
      <c r="O105" s="88">
        <f>N105/(H105+1E-106)*100-100</f>
        <v>-100</v>
      </c>
      <c r="P105" s="89">
        <f>N105-L105</f>
        <v>0</v>
      </c>
      <c r="Q105" s="87"/>
      <c r="R105" s="229"/>
      <c r="S105" s="239">
        <f t="shared" si="12"/>
        <v>-100</v>
      </c>
      <c r="T105" s="229"/>
      <c r="U105" s="206">
        <f t="shared" si="13"/>
        <v>-100</v>
      </c>
      <c r="V105" s="212">
        <f t="shared" si="14"/>
        <v>-100</v>
      </c>
      <c r="W105" s="207">
        <f t="shared" si="10"/>
        <v>0</v>
      </c>
      <c r="X105" s="205"/>
      <c r="Y105" s="77"/>
      <c r="AB105" s="251"/>
    </row>
    <row r="106" spans="1:28" ht="12" customHeight="1" hidden="1">
      <c r="A106" s="1"/>
      <c r="B106" s="40" t="s">
        <v>147</v>
      </c>
      <c r="C106" s="31" t="s">
        <v>132</v>
      </c>
      <c r="D106" s="214"/>
      <c r="E106" s="215"/>
      <c r="F106" s="214"/>
      <c r="G106" s="386"/>
      <c r="H106" s="98"/>
      <c r="I106" s="98"/>
      <c r="J106" s="98"/>
      <c r="K106" s="107" t="e">
        <f t="shared" si="11"/>
        <v>#DIV/0!</v>
      </c>
      <c r="L106" s="365"/>
      <c r="M106" s="91"/>
      <c r="N106" s="213"/>
      <c r="O106" s="106"/>
      <c r="P106" s="92"/>
      <c r="Q106" s="106"/>
      <c r="R106" s="260"/>
      <c r="S106" s="239">
        <f t="shared" si="12"/>
        <v>-100</v>
      </c>
      <c r="T106" s="260"/>
      <c r="U106" s="212">
        <f t="shared" si="13"/>
        <v>-100</v>
      </c>
      <c r="V106" s="212">
        <f t="shared" si="14"/>
        <v>-100</v>
      </c>
      <c r="W106" s="211">
        <f t="shared" si="10"/>
        <v>0</v>
      </c>
      <c r="X106" s="211"/>
      <c r="Y106" s="77"/>
      <c r="AA106" s="7"/>
      <c r="AB106" s="9"/>
    </row>
    <row r="107" spans="1:28" ht="12" customHeight="1" hidden="1">
      <c r="A107" s="1"/>
      <c r="B107" s="40" t="s">
        <v>188</v>
      </c>
      <c r="C107" s="150" t="s">
        <v>161</v>
      </c>
      <c r="D107" s="217" t="s">
        <v>160</v>
      </c>
      <c r="E107" s="225" t="s">
        <v>160</v>
      </c>
      <c r="F107" s="217"/>
      <c r="G107" s="218"/>
      <c r="H107" s="98"/>
      <c r="I107" s="98"/>
      <c r="J107" s="98"/>
      <c r="K107" s="107" t="e">
        <f t="shared" si="11"/>
        <v>#DIV/0!</v>
      </c>
      <c r="L107" s="365"/>
      <c r="M107" s="90">
        <f>L107/(H107+1E-133)*100-100</f>
        <v>-100</v>
      </c>
      <c r="N107" s="213"/>
      <c r="O107" s="90">
        <f>N107/(H107+1E-106)*100-100</f>
        <v>-100</v>
      </c>
      <c r="P107" s="91">
        <f>N107-L107</f>
        <v>0</v>
      </c>
      <c r="Q107" s="106"/>
      <c r="R107" s="260"/>
      <c r="S107" s="239">
        <f t="shared" si="12"/>
        <v>-100</v>
      </c>
      <c r="T107" s="260"/>
      <c r="U107" s="212">
        <f t="shared" si="13"/>
        <v>-100</v>
      </c>
      <c r="V107" s="212">
        <f t="shared" si="14"/>
        <v>-100</v>
      </c>
      <c r="W107" s="211">
        <f t="shared" si="10"/>
        <v>0</v>
      </c>
      <c r="X107" s="211"/>
      <c r="Y107" s="77"/>
      <c r="AA107" s="7"/>
      <c r="AB107" s="9"/>
    </row>
    <row r="108" spans="1:28" ht="12" customHeight="1" hidden="1">
      <c r="A108" s="1"/>
      <c r="B108" s="40" t="s">
        <v>182</v>
      </c>
      <c r="C108" s="31" t="s">
        <v>162</v>
      </c>
      <c r="D108" s="217" t="s">
        <v>160</v>
      </c>
      <c r="E108" s="225" t="s">
        <v>160</v>
      </c>
      <c r="F108" s="217"/>
      <c r="G108" s="218"/>
      <c r="H108" s="98"/>
      <c r="I108" s="98"/>
      <c r="J108" s="98"/>
      <c r="K108" s="107" t="e">
        <f t="shared" si="11"/>
        <v>#DIV/0!</v>
      </c>
      <c r="L108" s="365"/>
      <c r="M108" s="90">
        <f>L108/(H108+1E-133)*100-100</f>
        <v>-100</v>
      </c>
      <c r="N108" s="213"/>
      <c r="O108" s="90">
        <f>N108/(H108+1E-106)*100-100</f>
        <v>-100</v>
      </c>
      <c r="P108" s="91">
        <f>N108-L108</f>
        <v>0</v>
      </c>
      <c r="Q108" s="106"/>
      <c r="R108" s="260"/>
      <c r="S108" s="239">
        <f t="shared" si="12"/>
        <v>-100</v>
      </c>
      <c r="T108" s="260"/>
      <c r="U108" s="212">
        <f t="shared" si="13"/>
        <v>-100</v>
      </c>
      <c r="V108" s="212">
        <f t="shared" si="14"/>
        <v>-100</v>
      </c>
      <c r="W108" s="211">
        <f t="shared" si="10"/>
        <v>0</v>
      </c>
      <c r="X108" s="211"/>
      <c r="Y108" s="77"/>
      <c r="AA108" s="7"/>
      <c r="AB108" s="9"/>
    </row>
    <row r="109" spans="1:28" ht="12" customHeight="1" hidden="1">
      <c r="A109" s="1" t="s">
        <v>62</v>
      </c>
      <c r="B109" s="39" t="s">
        <v>121</v>
      </c>
      <c r="C109" s="31"/>
      <c r="D109" s="217"/>
      <c r="E109" s="225"/>
      <c r="F109" s="217"/>
      <c r="G109" s="218"/>
      <c r="H109" s="105"/>
      <c r="I109" s="105"/>
      <c r="J109" s="105"/>
      <c r="K109" s="107" t="e">
        <f t="shared" si="11"/>
        <v>#DIV/0!</v>
      </c>
      <c r="L109" s="226"/>
      <c r="M109" s="92"/>
      <c r="N109" s="220"/>
      <c r="O109" s="106"/>
      <c r="P109" s="92"/>
      <c r="Q109" s="106"/>
      <c r="R109" s="260"/>
      <c r="S109" s="239">
        <f t="shared" si="12"/>
        <v>-100</v>
      </c>
      <c r="T109" s="260"/>
      <c r="U109" s="212">
        <f t="shared" si="13"/>
        <v>-100</v>
      </c>
      <c r="V109" s="212">
        <f t="shared" si="14"/>
        <v>-100</v>
      </c>
      <c r="W109" s="211">
        <f t="shared" si="10"/>
        <v>0</v>
      </c>
      <c r="X109" s="211"/>
      <c r="Y109" s="77"/>
      <c r="AA109" s="7"/>
      <c r="AB109" s="9"/>
    </row>
    <row r="110" spans="1:28" ht="12" customHeight="1" hidden="1">
      <c r="A110" s="1"/>
      <c r="B110" s="40" t="s">
        <v>28</v>
      </c>
      <c r="C110" s="31" t="s">
        <v>44</v>
      </c>
      <c r="D110" s="214"/>
      <c r="E110" s="215"/>
      <c r="F110" s="214">
        <v>0</v>
      </c>
      <c r="G110" s="386"/>
      <c r="H110" s="105">
        <v>0</v>
      </c>
      <c r="I110" s="105"/>
      <c r="J110" s="105">
        <v>0</v>
      </c>
      <c r="K110" s="107" t="e">
        <f t="shared" si="11"/>
        <v>#DIV/0!</v>
      </c>
      <c r="L110" s="226">
        <f>H110</f>
        <v>0</v>
      </c>
      <c r="M110" s="90">
        <f>L110/(H110+1E-133)*100-100</f>
        <v>-100</v>
      </c>
      <c r="N110" s="220"/>
      <c r="O110" s="90">
        <f>N110/(H110+1E-106)*100-100</f>
        <v>-100</v>
      </c>
      <c r="P110" s="91">
        <f>N110-L110</f>
        <v>0</v>
      </c>
      <c r="Q110" s="106"/>
      <c r="R110" s="260">
        <f>R69*R9/1000</f>
        <v>269.68</v>
      </c>
      <c r="S110" s="239">
        <f t="shared" si="12"/>
        <v>2.6968E+110</v>
      </c>
      <c r="T110" s="260">
        <f>H110</f>
        <v>0</v>
      </c>
      <c r="U110" s="212">
        <f t="shared" si="13"/>
        <v>-100</v>
      </c>
      <c r="V110" s="212">
        <f t="shared" si="14"/>
        <v>-100</v>
      </c>
      <c r="W110" s="211">
        <f t="shared" si="10"/>
        <v>0</v>
      </c>
      <c r="X110" s="211"/>
      <c r="Y110" s="77"/>
      <c r="AA110" s="7"/>
      <c r="AB110" s="9"/>
    </row>
    <row r="111" spans="1:28" s="250" customFormat="1" ht="12" customHeight="1" hidden="1">
      <c r="A111" s="51"/>
      <c r="B111" s="39" t="s">
        <v>33</v>
      </c>
      <c r="C111" s="52" t="s">
        <v>45</v>
      </c>
      <c r="D111" s="261"/>
      <c r="E111" s="262">
        <f>E148/(E110+1E-107)</f>
        <v>0</v>
      </c>
      <c r="F111" s="360"/>
      <c r="G111" s="388"/>
      <c r="H111" s="98"/>
      <c r="I111" s="98"/>
      <c r="J111" s="98"/>
      <c r="K111" s="107" t="e">
        <f t="shared" si="11"/>
        <v>#DIV/0!</v>
      </c>
      <c r="L111" s="369">
        <f>T111</f>
        <v>0</v>
      </c>
      <c r="M111" s="88">
        <f>L111/(H111+1E-133)*100-100</f>
        <v>-100</v>
      </c>
      <c r="N111" s="247"/>
      <c r="O111" s="88">
        <f>N111/(H111+1E-106)*100-100</f>
        <v>-100</v>
      </c>
      <c r="P111" s="89">
        <f>N111-L111</f>
        <v>0</v>
      </c>
      <c r="Q111" s="87"/>
      <c r="R111" s="229">
        <f>T111</f>
        <v>0</v>
      </c>
      <c r="S111" s="239">
        <f t="shared" si="12"/>
        <v>-100</v>
      </c>
      <c r="T111" s="229">
        <f>H111*1.08</f>
        <v>0</v>
      </c>
      <c r="U111" s="206">
        <f t="shared" si="13"/>
        <v>-100</v>
      </c>
      <c r="V111" s="212">
        <f t="shared" si="14"/>
        <v>-100</v>
      </c>
      <c r="W111" s="207">
        <f t="shared" si="10"/>
        <v>0</v>
      </c>
      <c r="X111" s="207"/>
      <c r="Y111" s="238" t="s">
        <v>210</v>
      </c>
      <c r="AB111" s="251"/>
    </row>
    <row r="112" spans="1:28" ht="12" customHeight="1" hidden="1">
      <c r="A112" s="1"/>
      <c r="B112" s="40" t="s">
        <v>147</v>
      </c>
      <c r="C112" s="31" t="s">
        <v>132</v>
      </c>
      <c r="D112" s="214"/>
      <c r="E112" s="215"/>
      <c r="F112" s="214">
        <v>8040</v>
      </c>
      <c r="G112" s="386"/>
      <c r="H112" s="98"/>
      <c r="I112" s="98"/>
      <c r="J112" s="98"/>
      <c r="K112" s="107" t="e">
        <f t="shared" si="11"/>
        <v>#DIV/0!</v>
      </c>
      <c r="L112" s="365"/>
      <c r="M112" s="91"/>
      <c r="N112" s="213"/>
      <c r="O112" s="106"/>
      <c r="P112" s="92"/>
      <c r="Q112" s="106"/>
      <c r="R112" s="260"/>
      <c r="S112" s="239">
        <f t="shared" si="12"/>
        <v>-100</v>
      </c>
      <c r="T112" s="260"/>
      <c r="U112" s="212">
        <f t="shared" si="13"/>
        <v>-100</v>
      </c>
      <c r="V112" s="212">
        <f t="shared" si="14"/>
        <v>-100</v>
      </c>
      <c r="W112" s="211">
        <f t="shared" si="10"/>
        <v>0</v>
      </c>
      <c r="X112" s="211"/>
      <c r="Y112" s="77"/>
      <c r="AA112" s="7"/>
      <c r="AB112" s="9"/>
    </row>
    <row r="113" spans="1:28" ht="12" customHeight="1" hidden="1">
      <c r="A113" s="1"/>
      <c r="B113" s="40" t="s">
        <v>188</v>
      </c>
      <c r="C113" s="150" t="s">
        <v>161</v>
      </c>
      <c r="D113" s="217" t="s">
        <v>160</v>
      </c>
      <c r="E113" s="225" t="s">
        <v>160</v>
      </c>
      <c r="F113" s="217"/>
      <c r="G113" s="218"/>
      <c r="H113" s="98"/>
      <c r="I113" s="98"/>
      <c r="J113" s="98"/>
      <c r="K113" s="107" t="e">
        <f t="shared" si="11"/>
        <v>#DIV/0!</v>
      </c>
      <c r="L113" s="365"/>
      <c r="M113" s="90">
        <f>L113/(H113+1E-133)*100-100</f>
        <v>-100</v>
      </c>
      <c r="N113" s="213"/>
      <c r="O113" s="90">
        <f>N113/(H113+1E-106)*100-100</f>
        <v>-100</v>
      </c>
      <c r="P113" s="91">
        <f>N113-L113</f>
        <v>0</v>
      </c>
      <c r="Q113" s="106"/>
      <c r="R113" s="260"/>
      <c r="S113" s="239">
        <f t="shared" si="12"/>
        <v>-100</v>
      </c>
      <c r="T113" s="260"/>
      <c r="U113" s="212">
        <f t="shared" si="13"/>
        <v>-100</v>
      </c>
      <c r="V113" s="212">
        <f t="shared" si="14"/>
        <v>-100</v>
      </c>
      <c r="W113" s="211">
        <f t="shared" si="10"/>
        <v>0</v>
      </c>
      <c r="X113" s="211"/>
      <c r="Y113" s="77"/>
      <c r="AA113" s="7"/>
      <c r="AB113" s="9"/>
    </row>
    <row r="114" spans="1:28" ht="12" customHeight="1" hidden="1">
      <c r="A114" s="1"/>
      <c r="B114" s="40" t="s">
        <v>182</v>
      </c>
      <c r="C114" s="31" t="s">
        <v>162</v>
      </c>
      <c r="D114" s="217" t="s">
        <v>160</v>
      </c>
      <c r="E114" s="225" t="s">
        <v>160</v>
      </c>
      <c r="F114" s="217"/>
      <c r="G114" s="218"/>
      <c r="H114" s="98"/>
      <c r="I114" s="98"/>
      <c r="J114" s="98"/>
      <c r="K114" s="107" t="e">
        <f t="shared" si="11"/>
        <v>#DIV/0!</v>
      </c>
      <c r="L114" s="365"/>
      <c r="M114" s="90">
        <f>L114/(H114+1E-133)*100-100</f>
        <v>-100</v>
      </c>
      <c r="N114" s="213"/>
      <c r="O114" s="90">
        <f>N114/(H114+1E-106)*100-100</f>
        <v>-100</v>
      </c>
      <c r="P114" s="91">
        <f>N114-L114</f>
        <v>0</v>
      </c>
      <c r="Q114" s="106"/>
      <c r="R114" s="260"/>
      <c r="S114" s="239">
        <f t="shared" si="12"/>
        <v>-100</v>
      </c>
      <c r="T114" s="260"/>
      <c r="U114" s="212">
        <f t="shared" si="13"/>
        <v>-100</v>
      </c>
      <c r="V114" s="212">
        <f t="shared" si="14"/>
        <v>-100</v>
      </c>
      <c r="W114" s="211">
        <f t="shared" si="10"/>
        <v>0</v>
      </c>
      <c r="X114" s="211"/>
      <c r="Y114" s="77"/>
      <c r="AA114" s="7"/>
      <c r="AB114" s="9"/>
    </row>
    <row r="115" spans="1:28" ht="12" customHeight="1" hidden="1">
      <c r="A115" s="1" t="s">
        <v>62</v>
      </c>
      <c r="B115" s="39" t="s">
        <v>122</v>
      </c>
      <c r="C115" s="31"/>
      <c r="D115" s="217"/>
      <c r="E115" s="225"/>
      <c r="F115" s="217"/>
      <c r="G115" s="218"/>
      <c r="H115" s="105"/>
      <c r="I115" s="105"/>
      <c r="J115" s="105"/>
      <c r="K115" s="107" t="e">
        <f t="shared" si="11"/>
        <v>#DIV/0!</v>
      </c>
      <c r="L115" s="226"/>
      <c r="M115" s="92"/>
      <c r="N115" s="220"/>
      <c r="O115" s="106"/>
      <c r="P115" s="92"/>
      <c r="Q115" s="106"/>
      <c r="R115" s="260"/>
      <c r="S115" s="239">
        <f t="shared" si="12"/>
        <v>-100</v>
      </c>
      <c r="T115" s="260"/>
      <c r="U115" s="212">
        <f t="shared" si="13"/>
        <v>-100</v>
      </c>
      <c r="V115" s="212">
        <f t="shared" si="14"/>
        <v>-100</v>
      </c>
      <c r="W115" s="211">
        <f t="shared" si="10"/>
        <v>0</v>
      </c>
      <c r="X115" s="211"/>
      <c r="Y115" s="77"/>
      <c r="AA115" s="7"/>
      <c r="AB115" s="9"/>
    </row>
    <row r="116" spans="1:28" ht="12" customHeight="1" hidden="1">
      <c r="A116" s="1"/>
      <c r="B116" s="40" t="s">
        <v>28</v>
      </c>
      <c r="C116" s="31" t="s">
        <v>44</v>
      </c>
      <c r="D116" s="214"/>
      <c r="E116" s="215"/>
      <c r="F116" s="214">
        <v>0</v>
      </c>
      <c r="G116" s="386"/>
      <c r="H116" s="105">
        <v>0</v>
      </c>
      <c r="I116" s="105"/>
      <c r="J116" s="105">
        <v>0</v>
      </c>
      <c r="K116" s="107" t="e">
        <f t="shared" si="11"/>
        <v>#DIV/0!</v>
      </c>
      <c r="L116" s="226">
        <v>0</v>
      </c>
      <c r="M116" s="90">
        <f>L116/(H116+1E-133)*100-100</f>
        <v>-100</v>
      </c>
      <c r="N116" s="220"/>
      <c r="O116" s="90">
        <f>N116/(H116+1E-106)*100-100</f>
        <v>-100</v>
      </c>
      <c r="P116" s="91">
        <f>N116-L116</f>
        <v>0</v>
      </c>
      <c r="Q116" s="106"/>
      <c r="R116" s="260"/>
      <c r="S116" s="239">
        <f t="shared" si="12"/>
        <v>-100</v>
      </c>
      <c r="T116" s="260"/>
      <c r="U116" s="212">
        <f t="shared" si="13"/>
        <v>-100</v>
      </c>
      <c r="V116" s="212">
        <f t="shared" si="14"/>
        <v>-100</v>
      </c>
      <c r="W116" s="211">
        <f t="shared" si="10"/>
        <v>0</v>
      </c>
      <c r="X116" s="211"/>
      <c r="Y116" s="77"/>
      <c r="AA116" s="7"/>
      <c r="AB116" s="9"/>
    </row>
    <row r="117" spans="1:28" s="250" customFormat="1" ht="12" customHeight="1" hidden="1">
      <c r="A117" s="51"/>
      <c r="B117" s="39" t="s">
        <v>33</v>
      </c>
      <c r="C117" s="52" t="s">
        <v>45</v>
      </c>
      <c r="D117" s="261"/>
      <c r="E117" s="262">
        <f>E149/(E116+1E-107)</f>
        <v>0</v>
      </c>
      <c r="F117" s="360"/>
      <c r="G117" s="388"/>
      <c r="H117" s="98"/>
      <c r="I117" s="98"/>
      <c r="J117" s="98"/>
      <c r="K117" s="107" t="e">
        <f t="shared" si="11"/>
        <v>#DIV/0!</v>
      </c>
      <c r="L117" s="365"/>
      <c r="M117" s="88">
        <f>L117/(H117+1E-133)*100-100</f>
        <v>-100</v>
      </c>
      <c r="N117" s="247"/>
      <c r="O117" s="88">
        <f>N117/(H117+1E-106)*100-100</f>
        <v>-100</v>
      </c>
      <c r="P117" s="89">
        <f>N117-L117</f>
        <v>0</v>
      </c>
      <c r="Q117" s="87"/>
      <c r="R117" s="229"/>
      <c r="S117" s="239">
        <f t="shared" si="12"/>
        <v>-100</v>
      </c>
      <c r="T117" s="229"/>
      <c r="U117" s="206">
        <f t="shared" si="13"/>
        <v>-100</v>
      </c>
      <c r="V117" s="212">
        <f t="shared" si="14"/>
        <v>-100</v>
      </c>
      <c r="W117" s="207">
        <f t="shared" si="10"/>
        <v>0</v>
      </c>
      <c r="X117" s="205"/>
      <c r="Y117" s="77"/>
      <c r="AB117" s="251"/>
    </row>
    <row r="118" spans="1:28" ht="12" customHeight="1" hidden="1">
      <c r="A118" s="1"/>
      <c r="B118" s="40" t="s">
        <v>147</v>
      </c>
      <c r="C118" s="31" t="s">
        <v>132</v>
      </c>
      <c r="D118" s="214"/>
      <c r="E118" s="215"/>
      <c r="F118" s="214"/>
      <c r="G118" s="386"/>
      <c r="H118" s="98"/>
      <c r="I118" s="98"/>
      <c r="J118" s="98"/>
      <c r="K118" s="107" t="e">
        <f t="shared" si="11"/>
        <v>#DIV/0!</v>
      </c>
      <c r="L118" s="365"/>
      <c r="M118" s="91"/>
      <c r="N118" s="213"/>
      <c r="O118" s="106"/>
      <c r="P118" s="92"/>
      <c r="Q118" s="106"/>
      <c r="R118" s="260"/>
      <c r="S118" s="239">
        <f t="shared" si="12"/>
        <v>-100</v>
      </c>
      <c r="T118" s="260"/>
      <c r="U118" s="212">
        <f t="shared" si="13"/>
        <v>-100</v>
      </c>
      <c r="V118" s="212">
        <f t="shared" si="14"/>
        <v>-100</v>
      </c>
      <c r="W118" s="211">
        <f t="shared" si="10"/>
        <v>0</v>
      </c>
      <c r="X118" s="211"/>
      <c r="Y118" s="77"/>
      <c r="AA118" s="7"/>
      <c r="AB118" s="9"/>
    </row>
    <row r="119" spans="1:28" ht="12" customHeight="1" hidden="1">
      <c r="A119" s="1"/>
      <c r="B119" s="40" t="s">
        <v>188</v>
      </c>
      <c r="C119" s="150" t="s">
        <v>161</v>
      </c>
      <c r="D119" s="217" t="s">
        <v>160</v>
      </c>
      <c r="E119" s="225" t="s">
        <v>160</v>
      </c>
      <c r="F119" s="217"/>
      <c r="G119" s="218"/>
      <c r="H119" s="98"/>
      <c r="I119" s="98"/>
      <c r="J119" s="98"/>
      <c r="K119" s="107" t="e">
        <f t="shared" si="11"/>
        <v>#DIV/0!</v>
      </c>
      <c r="L119" s="365"/>
      <c r="M119" s="90">
        <f>L119/(H119+1E-133)*100-100</f>
        <v>-100</v>
      </c>
      <c r="N119" s="213"/>
      <c r="O119" s="90">
        <f>N119/(H119+1E-106)*100-100</f>
        <v>-100</v>
      </c>
      <c r="P119" s="91">
        <f>N119-L119</f>
        <v>0</v>
      </c>
      <c r="Q119" s="106"/>
      <c r="R119" s="260"/>
      <c r="S119" s="239">
        <f t="shared" si="12"/>
        <v>-100</v>
      </c>
      <c r="T119" s="260"/>
      <c r="U119" s="212">
        <f t="shared" si="13"/>
        <v>-100</v>
      </c>
      <c r="V119" s="212">
        <f t="shared" si="14"/>
        <v>-100</v>
      </c>
      <c r="W119" s="211">
        <f t="shared" si="10"/>
        <v>0</v>
      </c>
      <c r="X119" s="211"/>
      <c r="Y119" s="77"/>
      <c r="AA119" s="7"/>
      <c r="AB119" s="9"/>
    </row>
    <row r="120" spans="1:28" ht="12" customHeight="1" hidden="1">
      <c r="A120" s="1"/>
      <c r="B120" s="40" t="s">
        <v>182</v>
      </c>
      <c r="C120" s="31" t="s">
        <v>162</v>
      </c>
      <c r="D120" s="217" t="s">
        <v>160</v>
      </c>
      <c r="E120" s="225" t="s">
        <v>160</v>
      </c>
      <c r="F120" s="217"/>
      <c r="G120" s="218"/>
      <c r="H120" s="98"/>
      <c r="I120" s="98"/>
      <c r="J120" s="98"/>
      <c r="K120" s="107" t="e">
        <f t="shared" si="11"/>
        <v>#DIV/0!</v>
      </c>
      <c r="L120" s="365"/>
      <c r="M120" s="90">
        <f>L120/(H120+1E-133)*100-100</f>
        <v>-100</v>
      </c>
      <c r="N120" s="213"/>
      <c r="O120" s="90">
        <f>N120/(H120+1E-106)*100-100</f>
        <v>-100</v>
      </c>
      <c r="P120" s="91">
        <f>N120-L120</f>
        <v>0</v>
      </c>
      <c r="Q120" s="106"/>
      <c r="R120" s="260"/>
      <c r="S120" s="239">
        <f t="shared" si="12"/>
        <v>-100</v>
      </c>
      <c r="T120" s="260"/>
      <c r="U120" s="212">
        <f t="shared" si="13"/>
        <v>-100</v>
      </c>
      <c r="V120" s="212">
        <f t="shared" si="14"/>
        <v>-100</v>
      </c>
      <c r="W120" s="211">
        <f t="shared" si="10"/>
        <v>0</v>
      </c>
      <c r="X120" s="211"/>
      <c r="Y120" s="77"/>
      <c r="AA120" s="7"/>
      <c r="AB120" s="9"/>
    </row>
    <row r="121" spans="1:28" ht="12" customHeight="1" hidden="1">
      <c r="A121" s="1" t="s">
        <v>62</v>
      </c>
      <c r="B121" s="39" t="s">
        <v>123</v>
      </c>
      <c r="C121" s="31"/>
      <c r="D121" s="217"/>
      <c r="E121" s="225"/>
      <c r="F121" s="217"/>
      <c r="G121" s="218"/>
      <c r="H121" s="105"/>
      <c r="I121" s="105"/>
      <c r="J121" s="105"/>
      <c r="K121" s="107" t="e">
        <f t="shared" si="11"/>
        <v>#DIV/0!</v>
      </c>
      <c r="L121" s="226"/>
      <c r="M121" s="92"/>
      <c r="N121" s="220"/>
      <c r="O121" s="106"/>
      <c r="P121" s="92"/>
      <c r="Q121" s="106"/>
      <c r="R121" s="260"/>
      <c r="S121" s="239">
        <f t="shared" si="12"/>
        <v>-100</v>
      </c>
      <c r="T121" s="260"/>
      <c r="U121" s="212">
        <f t="shared" si="13"/>
        <v>-100</v>
      </c>
      <c r="V121" s="212">
        <f t="shared" si="14"/>
        <v>-100</v>
      </c>
      <c r="W121" s="211">
        <f t="shared" si="10"/>
        <v>0</v>
      </c>
      <c r="X121" s="211"/>
      <c r="Y121" s="77"/>
      <c r="AA121" s="7"/>
      <c r="AB121" s="9"/>
    </row>
    <row r="122" spans="1:28" ht="12" customHeight="1" hidden="1">
      <c r="A122" s="1"/>
      <c r="B122" s="40" t="s">
        <v>28</v>
      </c>
      <c r="C122" s="31" t="s">
        <v>44</v>
      </c>
      <c r="D122" s="214"/>
      <c r="E122" s="215"/>
      <c r="F122" s="214">
        <v>0</v>
      </c>
      <c r="G122" s="386"/>
      <c r="H122" s="105">
        <v>0</v>
      </c>
      <c r="I122" s="105"/>
      <c r="J122" s="105">
        <v>0</v>
      </c>
      <c r="K122" s="107" t="e">
        <f t="shared" si="11"/>
        <v>#DIV/0!</v>
      </c>
      <c r="L122" s="226">
        <v>0</v>
      </c>
      <c r="M122" s="90">
        <f>L122/(H122+1E-133)*100-100</f>
        <v>-100</v>
      </c>
      <c r="N122" s="220"/>
      <c r="O122" s="90">
        <f>N122/(H122+1E-106)*100-100</f>
        <v>-100</v>
      </c>
      <c r="P122" s="91">
        <f>N122-L122</f>
        <v>0</v>
      </c>
      <c r="Q122" s="106"/>
      <c r="R122" s="260"/>
      <c r="S122" s="239">
        <f t="shared" si="12"/>
        <v>-100</v>
      </c>
      <c r="T122" s="260"/>
      <c r="U122" s="212">
        <f t="shared" si="13"/>
        <v>-100</v>
      </c>
      <c r="V122" s="212">
        <f t="shared" si="14"/>
        <v>-100</v>
      </c>
      <c r="W122" s="211">
        <f t="shared" si="10"/>
        <v>0</v>
      </c>
      <c r="X122" s="211"/>
      <c r="Y122" s="77"/>
      <c r="AA122" s="7"/>
      <c r="AB122" s="9"/>
    </row>
    <row r="123" spans="1:28" s="250" customFormat="1" ht="12" customHeight="1" hidden="1">
      <c r="A123" s="51"/>
      <c r="B123" s="39" t="s">
        <v>33</v>
      </c>
      <c r="C123" s="52" t="s">
        <v>45</v>
      </c>
      <c r="D123" s="261"/>
      <c r="E123" s="262">
        <f>E150/(E122+1E-107)</f>
        <v>0</v>
      </c>
      <c r="F123" s="360"/>
      <c r="G123" s="388"/>
      <c r="H123" s="98"/>
      <c r="I123" s="98"/>
      <c r="J123" s="98"/>
      <c r="K123" s="107" t="e">
        <f t="shared" si="11"/>
        <v>#DIV/0!</v>
      </c>
      <c r="L123" s="365"/>
      <c r="M123" s="88">
        <f>L123/(H123+1E-133)*100-100</f>
        <v>-100</v>
      </c>
      <c r="N123" s="247"/>
      <c r="O123" s="88">
        <f>N123/(H123+1E-106)*100-100</f>
        <v>-100</v>
      </c>
      <c r="P123" s="89">
        <f>N123-L123</f>
        <v>0</v>
      </c>
      <c r="Q123" s="87"/>
      <c r="R123" s="229"/>
      <c r="S123" s="239">
        <f t="shared" si="12"/>
        <v>-100</v>
      </c>
      <c r="T123" s="229"/>
      <c r="U123" s="206">
        <f t="shared" si="13"/>
        <v>-100</v>
      </c>
      <c r="V123" s="212">
        <f t="shared" si="14"/>
        <v>-100</v>
      </c>
      <c r="W123" s="207">
        <f t="shared" si="10"/>
        <v>0</v>
      </c>
      <c r="X123" s="207"/>
      <c r="Y123" s="77"/>
      <c r="AB123" s="251"/>
    </row>
    <row r="124" spans="1:28" ht="12" customHeight="1" hidden="1">
      <c r="A124" s="1"/>
      <c r="B124" s="40" t="s">
        <v>147</v>
      </c>
      <c r="C124" s="31" t="s">
        <v>132</v>
      </c>
      <c r="D124" s="214"/>
      <c r="E124" s="215"/>
      <c r="F124" s="214"/>
      <c r="G124" s="386"/>
      <c r="H124" s="98"/>
      <c r="I124" s="98"/>
      <c r="J124" s="98"/>
      <c r="K124" s="107" t="e">
        <f t="shared" si="11"/>
        <v>#DIV/0!</v>
      </c>
      <c r="L124" s="365"/>
      <c r="M124" s="91"/>
      <c r="N124" s="213"/>
      <c r="O124" s="106"/>
      <c r="P124" s="92"/>
      <c r="Q124" s="106"/>
      <c r="R124" s="260"/>
      <c r="S124" s="239">
        <f t="shared" si="12"/>
        <v>-100</v>
      </c>
      <c r="T124" s="260"/>
      <c r="U124" s="212">
        <f t="shared" si="13"/>
        <v>-100</v>
      </c>
      <c r="V124" s="212">
        <f t="shared" si="14"/>
        <v>-100</v>
      </c>
      <c r="W124" s="211">
        <f t="shared" si="10"/>
        <v>0</v>
      </c>
      <c r="X124" s="211"/>
      <c r="Y124" s="77"/>
      <c r="AA124" s="7"/>
      <c r="AB124" s="9"/>
    </row>
    <row r="125" spans="1:28" ht="12" customHeight="1" hidden="1">
      <c r="A125" s="1"/>
      <c r="B125" s="40" t="s">
        <v>188</v>
      </c>
      <c r="C125" s="150" t="s">
        <v>161</v>
      </c>
      <c r="D125" s="217" t="s">
        <v>160</v>
      </c>
      <c r="E125" s="225" t="s">
        <v>160</v>
      </c>
      <c r="F125" s="217"/>
      <c r="G125" s="218"/>
      <c r="H125" s="98"/>
      <c r="I125" s="98"/>
      <c r="J125" s="98"/>
      <c r="K125" s="107" t="e">
        <f t="shared" si="11"/>
        <v>#DIV/0!</v>
      </c>
      <c r="L125" s="365"/>
      <c r="M125" s="90">
        <f>L125/(H125+1E-133)*100-100</f>
        <v>-100</v>
      </c>
      <c r="N125" s="213"/>
      <c r="O125" s="90">
        <f>N125/(H125+1E-106)*100-100</f>
        <v>-100</v>
      </c>
      <c r="P125" s="91">
        <f>N125-L125</f>
        <v>0</v>
      </c>
      <c r="Q125" s="106"/>
      <c r="R125" s="260"/>
      <c r="S125" s="239">
        <f t="shared" si="12"/>
        <v>-100</v>
      </c>
      <c r="T125" s="260"/>
      <c r="U125" s="212">
        <f t="shared" si="13"/>
        <v>-100</v>
      </c>
      <c r="V125" s="212">
        <f t="shared" si="14"/>
        <v>-100</v>
      </c>
      <c r="W125" s="211">
        <f t="shared" si="10"/>
        <v>0</v>
      </c>
      <c r="X125" s="211"/>
      <c r="Y125" s="77"/>
      <c r="AA125" s="7"/>
      <c r="AB125" s="9"/>
    </row>
    <row r="126" spans="1:28" ht="12" customHeight="1" hidden="1">
      <c r="A126" s="1"/>
      <c r="B126" s="40" t="s">
        <v>182</v>
      </c>
      <c r="C126" s="31" t="s">
        <v>162</v>
      </c>
      <c r="D126" s="217" t="s">
        <v>160</v>
      </c>
      <c r="E126" s="225" t="s">
        <v>160</v>
      </c>
      <c r="F126" s="217"/>
      <c r="G126" s="218"/>
      <c r="H126" s="98"/>
      <c r="I126" s="98"/>
      <c r="J126" s="98"/>
      <c r="K126" s="107" t="e">
        <f t="shared" si="11"/>
        <v>#DIV/0!</v>
      </c>
      <c r="L126" s="365"/>
      <c r="M126" s="90">
        <f>L126/(H126+1E-133)*100-100</f>
        <v>-100</v>
      </c>
      <c r="N126" s="213"/>
      <c r="O126" s="90">
        <f>N126/(H126+1E-106)*100-100</f>
        <v>-100</v>
      </c>
      <c r="P126" s="91">
        <f>N126-L126</f>
        <v>0</v>
      </c>
      <c r="Q126" s="106"/>
      <c r="R126" s="260"/>
      <c r="S126" s="239">
        <f t="shared" si="12"/>
        <v>-100</v>
      </c>
      <c r="T126" s="260"/>
      <c r="U126" s="212">
        <f t="shared" si="13"/>
        <v>-100</v>
      </c>
      <c r="V126" s="212">
        <f t="shared" si="14"/>
        <v>-100</v>
      </c>
      <c r="W126" s="211">
        <f t="shared" si="10"/>
        <v>0</v>
      </c>
      <c r="X126" s="211"/>
      <c r="Y126" s="77"/>
      <c r="AA126" s="7"/>
      <c r="AB126" s="9"/>
    </row>
    <row r="127" spans="1:28" ht="12" customHeight="1">
      <c r="A127" s="51">
        <v>9</v>
      </c>
      <c r="B127" s="39" t="s">
        <v>10</v>
      </c>
      <c r="C127" s="31"/>
      <c r="D127" s="217"/>
      <c r="E127" s="225"/>
      <c r="F127" s="217"/>
      <c r="G127" s="218"/>
      <c r="H127" s="148"/>
      <c r="I127" s="148"/>
      <c r="J127" s="148"/>
      <c r="K127" s="107"/>
      <c r="L127" s="226"/>
      <c r="M127" s="106"/>
      <c r="N127" s="220"/>
      <c r="O127" s="90"/>
      <c r="P127" s="91"/>
      <c r="Q127" s="106"/>
      <c r="R127" s="260"/>
      <c r="S127" s="239"/>
      <c r="T127" s="260"/>
      <c r="U127" s="206"/>
      <c r="V127" s="212"/>
      <c r="W127" s="207"/>
      <c r="X127" s="211"/>
      <c r="Y127" s="77"/>
      <c r="AA127" s="7"/>
      <c r="AB127" s="9"/>
    </row>
    <row r="128" spans="1:28" ht="12" customHeight="1">
      <c r="A128" s="1"/>
      <c r="B128" s="40" t="s">
        <v>64</v>
      </c>
      <c r="C128" s="31" t="s">
        <v>65</v>
      </c>
      <c r="D128" s="214">
        <v>0.9</v>
      </c>
      <c r="E128" s="225">
        <f>E129*1000/(E9+1E-104)</f>
        <v>0</v>
      </c>
      <c r="F128" s="217">
        <v>0.8</v>
      </c>
      <c r="G128" s="218">
        <v>0.7</v>
      </c>
      <c r="H128" s="98">
        <f>I128</f>
        <v>0.7</v>
      </c>
      <c r="I128" s="98">
        <v>0.7</v>
      </c>
      <c r="J128" s="98">
        <v>0.7</v>
      </c>
      <c r="K128" s="107">
        <f t="shared" si="11"/>
        <v>0</v>
      </c>
      <c r="L128" s="365">
        <f>H128</f>
        <v>0.7</v>
      </c>
      <c r="M128" s="90">
        <f>L128/(H128+1E-133)*100-100</f>
        <v>0</v>
      </c>
      <c r="N128" s="213"/>
      <c r="O128" s="90">
        <f>N128/(H128+1E-106)*100-100</f>
        <v>-100</v>
      </c>
      <c r="P128" s="91">
        <f>N128-L128</f>
        <v>-0.7</v>
      </c>
      <c r="Q128" s="106"/>
      <c r="R128" s="260">
        <f>H128</f>
        <v>0.7</v>
      </c>
      <c r="S128" s="239">
        <f t="shared" si="12"/>
        <v>0</v>
      </c>
      <c r="T128" s="260">
        <f>R128</f>
        <v>0.7</v>
      </c>
      <c r="U128" s="212">
        <f t="shared" si="13"/>
        <v>0</v>
      </c>
      <c r="V128" s="212">
        <f t="shared" si="14"/>
        <v>0</v>
      </c>
      <c r="W128" s="211">
        <f t="shared" si="10"/>
        <v>0</v>
      </c>
      <c r="X128" s="211"/>
      <c r="Y128" s="77"/>
      <c r="AA128" s="7"/>
      <c r="AB128" s="9"/>
    </row>
    <row r="129" spans="1:25" ht="12" customHeight="1">
      <c r="A129" s="1"/>
      <c r="B129" s="40" t="s">
        <v>29</v>
      </c>
      <c r="C129" s="31" t="s">
        <v>43</v>
      </c>
      <c r="D129" s="217">
        <f>D128*D9/1000</f>
        <v>0</v>
      </c>
      <c r="E129" s="215"/>
      <c r="F129" s="214">
        <v>155.3</v>
      </c>
      <c r="G129" s="386">
        <v>11.4</v>
      </c>
      <c r="H129" s="105">
        <f>H128*H9/1000</f>
        <v>8.93</v>
      </c>
      <c r="I129" s="105">
        <v>11.4</v>
      </c>
      <c r="J129" s="105">
        <v>8.93</v>
      </c>
      <c r="K129" s="107">
        <f t="shared" si="11"/>
        <v>0</v>
      </c>
      <c r="L129" s="107">
        <f>L128*L9/1000</f>
        <v>11.43</v>
      </c>
      <c r="M129" s="90">
        <f>L129/(H129+1E-133)*100-100</f>
        <v>28</v>
      </c>
      <c r="N129" s="220">
        <f>N128*N9/1000</f>
        <v>0</v>
      </c>
      <c r="O129" s="90">
        <f>N129/(H129+1E-106)*100-100</f>
        <v>-100</v>
      </c>
      <c r="P129" s="91">
        <f>N129-L129</f>
        <v>-11.43</v>
      </c>
      <c r="Q129" s="106"/>
      <c r="R129" s="260">
        <f>H129</f>
        <v>8.93</v>
      </c>
      <c r="S129" s="239">
        <f t="shared" si="12"/>
        <v>0</v>
      </c>
      <c r="T129" s="260">
        <f>R129</f>
        <v>8.93</v>
      </c>
      <c r="U129" s="212">
        <f t="shared" si="13"/>
        <v>0</v>
      </c>
      <c r="V129" s="212">
        <f t="shared" si="14"/>
        <v>0</v>
      </c>
      <c r="W129" s="211">
        <f t="shared" si="10"/>
        <v>-2.5</v>
      </c>
      <c r="X129" s="211"/>
      <c r="Y129" s="77"/>
    </row>
    <row r="130" spans="1:25" s="250" customFormat="1" ht="12" customHeight="1">
      <c r="A130" s="51"/>
      <c r="B130" s="39" t="s">
        <v>34</v>
      </c>
      <c r="C130" s="52" t="s">
        <v>46</v>
      </c>
      <c r="D130" s="247"/>
      <c r="E130" s="203">
        <f>E151/(E129+1E-108)</f>
        <v>0</v>
      </c>
      <c r="F130" s="202">
        <v>15.1</v>
      </c>
      <c r="G130" s="227">
        <v>14.38</v>
      </c>
      <c r="H130" s="126">
        <f>I130</f>
        <v>14.38</v>
      </c>
      <c r="I130" s="126">
        <v>14.38</v>
      </c>
      <c r="J130" s="126">
        <f>1.18*14.38</f>
        <v>16.97</v>
      </c>
      <c r="K130" s="112">
        <f t="shared" si="11"/>
        <v>18.01</v>
      </c>
      <c r="L130" s="366">
        <f>T130</f>
        <v>18.99</v>
      </c>
      <c r="M130" s="88">
        <f>L130/(H130+1E-133)*100-100</f>
        <v>32.1</v>
      </c>
      <c r="N130" s="247"/>
      <c r="O130" s="88">
        <f>N130/(H130+1E-106)*100-100</f>
        <v>-100</v>
      </c>
      <c r="P130" s="89">
        <f>N130-L130</f>
        <v>-18.99</v>
      </c>
      <c r="Q130" s="87"/>
      <c r="R130" s="229">
        <f>J130</f>
        <v>16.97</v>
      </c>
      <c r="S130" s="205">
        <f t="shared" si="12"/>
        <v>18.01</v>
      </c>
      <c r="T130" s="229">
        <f>H130*1.119*1.18</f>
        <v>18.99</v>
      </c>
      <c r="U130" s="206">
        <f t="shared" si="13"/>
        <v>11.9</v>
      </c>
      <c r="V130" s="206">
        <f t="shared" si="14"/>
        <v>32.1</v>
      </c>
      <c r="W130" s="207">
        <f t="shared" si="10"/>
        <v>0</v>
      </c>
      <c r="X130" s="207"/>
      <c r="Y130" s="229">
        <f>14.38*1.119</f>
        <v>16.09</v>
      </c>
    </row>
    <row r="131" spans="1:25" ht="12.75" customHeight="1">
      <c r="A131" s="60"/>
      <c r="B131" s="59" t="s">
        <v>72</v>
      </c>
      <c r="C131" s="31"/>
      <c r="D131" s="217"/>
      <c r="E131" s="225"/>
      <c r="F131" s="217"/>
      <c r="G131" s="218"/>
      <c r="H131" s="105"/>
      <c r="I131" s="105"/>
      <c r="J131" s="105"/>
      <c r="K131" s="107"/>
      <c r="L131" s="226"/>
      <c r="M131" s="106"/>
      <c r="N131" s="220"/>
      <c r="O131" s="90"/>
      <c r="P131" s="91"/>
      <c r="Q131" s="106"/>
      <c r="R131" s="260"/>
      <c r="S131" s="239"/>
      <c r="T131" s="260"/>
      <c r="U131" s="206"/>
      <c r="V131" s="212"/>
      <c r="W131" s="207"/>
      <c r="X131" s="211"/>
      <c r="Y131" s="161"/>
    </row>
    <row r="132" spans="1:25" s="250" customFormat="1" ht="12" customHeight="1">
      <c r="A132" s="51">
        <v>10</v>
      </c>
      <c r="B132" s="39" t="s">
        <v>94</v>
      </c>
      <c r="C132" s="52" t="s">
        <v>8</v>
      </c>
      <c r="D132" s="204">
        <f>SUMIF(D133:D139,"&gt;0")</f>
        <v>0</v>
      </c>
      <c r="E132" s="248">
        <f>E133+E134+E135+E136+E137+E138+E139</f>
        <v>0</v>
      </c>
      <c r="F132" s="204">
        <v>90128</v>
      </c>
      <c r="G132" s="255">
        <v>7016.4</v>
      </c>
      <c r="H132" s="265">
        <f>H30*H29/1000</f>
        <v>5574.1</v>
      </c>
      <c r="I132" s="265">
        <v>7016.4</v>
      </c>
      <c r="J132" s="265">
        <f>SUMIF(J133:J139,"&gt;0")</f>
        <v>6577.4</v>
      </c>
      <c r="K132" s="112">
        <f t="shared" si="11"/>
        <v>18</v>
      </c>
      <c r="L132" s="371">
        <f>L29*L30/1000</f>
        <v>9679.3</v>
      </c>
      <c r="M132" s="88">
        <f aca="true" t="shared" si="15" ref="M132:M176">L132/(H132+1E-133)*100-100</f>
        <v>73.6</v>
      </c>
      <c r="N132" s="204">
        <f>SUMIF(N133:N139,"&gt;0")</f>
        <v>0</v>
      </c>
      <c r="O132" s="88">
        <f aca="true" t="shared" si="16" ref="O132:O159">N132/(H132+1E-106)*100-100</f>
        <v>-100</v>
      </c>
      <c r="P132" s="89">
        <f>N132-L132</f>
        <v>-9679.3</v>
      </c>
      <c r="Q132" s="87">
        <f>N132/($N$198+1E-103)*100</f>
        <v>0</v>
      </c>
      <c r="R132" s="265">
        <f>SUMIF(R133:R139,"&gt;0")</f>
        <v>7287.1</v>
      </c>
      <c r="S132" s="205">
        <f t="shared" si="12"/>
        <v>30.73</v>
      </c>
      <c r="T132" s="265">
        <f>SUMIF(T133:T139,"&gt;0")</f>
        <v>7564.1</v>
      </c>
      <c r="U132" s="206">
        <f t="shared" si="13"/>
        <v>3.8</v>
      </c>
      <c r="V132" s="206">
        <f t="shared" si="14"/>
        <v>35.7</v>
      </c>
      <c r="W132" s="207">
        <f>T132-L132</f>
        <v>-2115.2</v>
      </c>
      <c r="X132" s="87">
        <f>T132/($T$198+1E-103)*100</f>
        <v>57.1</v>
      </c>
      <c r="Y132" s="449"/>
    </row>
    <row r="133" spans="1:25" ht="12" customHeight="1">
      <c r="A133" s="1" t="s">
        <v>62</v>
      </c>
      <c r="B133" s="40" t="s">
        <v>96</v>
      </c>
      <c r="C133" s="31" t="s">
        <v>8</v>
      </c>
      <c r="D133" s="220">
        <f>D29*D30/1000</f>
        <v>0</v>
      </c>
      <c r="E133" s="252"/>
      <c r="F133" s="213">
        <v>80989.45</v>
      </c>
      <c r="G133" s="252"/>
      <c r="H133" s="265">
        <f>H132</f>
        <v>5574.1</v>
      </c>
      <c r="I133" s="105"/>
      <c r="J133" s="235">
        <f>J29*J30/1000</f>
        <v>6577.4</v>
      </c>
      <c r="K133" s="107">
        <f t="shared" si="11"/>
        <v>18</v>
      </c>
      <c r="L133" s="372">
        <f>L29*L30/1000</f>
        <v>9679.3</v>
      </c>
      <c r="M133" s="90">
        <f t="shared" si="15"/>
        <v>73.6</v>
      </c>
      <c r="N133" s="220">
        <f>N29*N30/1000</f>
        <v>0</v>
      </c>
      <c r="O133" s="90">
        <f t="shared" si="16"/>
        <v>-100</v>
      </c>
      <c r="P133" s="91">
        <f aca="true" t="shared" si="17" ref="P133:P182">N133-L133</f>
        <v>-9679.3</v>
      </c>
      <c r="Q133" s="106"/>
      <c r="R133" s="235">
        <f>R29*R30/1000</f>
        <v>7287.1</v>
      </c>
      <c r="S133" s="239">
        <f t="shared" si="12"/>
        <v>30.73</v>
      </c>
      <c r="T133" s="235">
        <f>T29*T30/1000</f>
        <v>7564.1</v>
      </c>
      <c r="U133" s="212">
        <f t="shared" si="13"/>
        <v>3.8</v>
      </c>
      <c r="V133" s="212">
        <f t="shared" si="14"/>
        <v>35.7</v>
      </c>
      <c r="W133" s="211">
        <f aca="true" t="shared" si="18" ref="W133:W187">T133-L133</f>
        <v>-2115.2</v>
      </c>
      <c r="X133" s="106">
        <f aca="true" t="shared" si="19" ref="X133:X187">T133/($T$198+1E-103)*100</f>
        <v>57.1</v>
      </c>
      <c r="Y133" s="158"/>
    </row>
    <row r="134" spans="1:25" ht="12" customHeight="1" hidden="1">
      <c r="A134" s="1" t="s">
        <v>62</v>
      </c>
      <c r="B134" s="40" t="s">
        <v>95</v>
      </c>
      <c r="C134" s="31" t="s">
        <v>8</v>
      </c>
      <c r="D134" s="217">
        <f>D35*D36/1000</f>
        <v>0</v>
      </c>
      <c r="E134" s="252"/>
      <c r="F134" s="213">
        <v>8251.6</v>
      </c>
      <c r="G134" s="252"/>
      <c r="H134" s="94">
        <v>0</v>
      </c>
      <c r="I134" s="94"/>
      <c r="J134" s="235">
        <f>J35*J36/1000</f>
        <v>0</v>
      </c>
      <c r="K134" s="107" t="e">
        <f t="shared" si="11"/>
        <v>#DIV/0!</v>
      </c>
      <c r="L134" s="372">
        <f>L35*L36/1000</f>
        <v>0</v>
      </c>
      <c r="M134" s="90">
        <f t="shared" si="15"/>
        <v>-100</v>
      </c>
      <c r="N134" s="220">
        <f>N35*N36/1000</f>
        <v>0</v>
      </c>
      <c r="O134" s="90">
        <f t="shared" si="16"/>
        <v>-100</v>
      </c>
      <c r="P134" s="91">
        <f t="shared" si="17"/>
        <v>0</v>
      </c>
      <c r="Q134" s="106"/>
      <c r="R134" s="235">
        <f>R35*R36/1000</f>
        <v>0</v>
      </c>
      <c r="S134" s="239">
        <f t="shared" si="12"/>
        <v>-100</v>
      </c>
      <c r="T134" s="235">
        <f>T35*T36/1000</f>
        <v>0</v>
      </c>
      <c r="U134" s="206">
        <f t="shared" si="13"/>
        <v>-100</v>
      </c>
      <c r="V134" s="212">
        <f t="shared" si="14"/>
        <v>-100</v>
      </c>
      <c r="W134" s="211">
        <f t="shared" si="18"/>
        <v>0</v>
      </c>
      <c r="X134" s="106">
        <f t="shared" si="19"/>
        <v>0</v>
      </c>
      <c r="Y134" s="158"/>
    </row>
    <row r="135" spans="1:25" ht="12" customHeight="1" hidden="1">
      <c r="A135" s="1" t="s">
        <v>62</v>
      </c>
      <c r="B135" s="40" t="s">
        <v>97</v>
      </c>
      <c r="C135" s="31" t="s">
        <v>8</v>
      </c>
      <c r="D135" s="217">
        <f>D41*D42/1000</f>
        <v>0</v>
      </c>
      <c r="E135" s="252"/>
      <c r="F135" s="213">
        <v>0</v>
      </c>
      <c r="G135" s="252"/>
      <c r="H135" s="105">
        <v>0</v>
      </c>
      <c r="I135" s="105"/>
      <c r="J135" s="235">
        <f>J41*J42/1000</f>
        <v>0</v>
      </c>
      <c r="K135" s="107" t="e">
        <f t="shared" si="11"/>
        <v>#DIV/0!</v>
      </c>
      <c r="L135" s="372">
        <f>L41*L42/1000</f>
        <v>0</v>
      </c>
      <c r="M135" s="90">
        <f t="shared" si="15"/>
        <v>-100</v>
      </c>
      <c r="N135" s="220">
        <f>N41*N42/1000</f>
        <v>0</v>
      </c>
      <c r="O135" s="90">
        <f t="shared" si="16"/>
        <v>-100</v>
      </c>
      <c r="P135" s="91">
        <f t="shared" si="17"/>
        <v>0</v>
      </c>
      <c r="Q135" s="106"/>
      <c r="R135" s="235">
        <f>R41*R42/1000</f>
        <v>0</v>
      </c>
      <c r="S135" s="239">
        <f t="shared" si="12"/>
        <v>-100</v>
      </c>
      <c r="T135" s="235">
        <f>T41*T42/1000</f>
        <v>0</v>
      </c>
      <c r="U135" s="206">
        <f t="shared" si="13"/>
        <v>-100</v>
      </c>
      <c r="V135" s="212">
        <f t="shared" si="14"/>
        <v>-100</v>
      </c>
      <c r="W135" s="211">
        <f t="shared" si="18"/>
        <v>0</v>
      </c>
      <c r="X135" s="106">
        <f t="shared" si="19"/>
        <v>0</v>
      </c>
      <c r="Y135" s="158"/>
    </row>
    <row r="136" spans="1:25" ht="12" customHeight="1" hidden="1">
      <c r="A136" s="1" t="s">
        <v>62</v>
      </c>
      <c r="B136" s="40" t="s">
        <v>98</v>
      </c>
      <c r="C136" s="31" t="s">
        <v>8</v>
      </c>
      <c r="D136" s="217">
        <f>D47*D48/1000</f>
        <v>0</v>
      </c>
      <c r="E136" s="252"/>
      <c r="F136" s="213">
        <v>886.67</v>
      </c>
      <c r="G136" s="252"/>
      <c r="H136" s="105">
        <v>0</v>
      </c>
      <c r="I136" s="105"/>
      <c r="J136" s="235">
        <f>J47*J48/1000</f>
        <v>0</v>
      </c>
      <c r="K136" s="107" t="e">
        <f t="shared" si="11"/>
        <v>#DIV/0!</v>
      </c>
      <c r="L136" s="372">
        <f>L47*L48/1000</f>
        <v>0</v>
      </c>
      <c r="M136" s="90">
        <f t="shared" si="15"/>
        <v>-100</v>
      </c>
      <c r="N136" s="220">
        <f>N47*N48/1000</f>
        <v>0</v>
      </c>
      <c r="O136" s="90">
        <f t="shared" si="16"/>
        <v>-100</v>
      </c>
      <c r="P136" s="91">
        <f t="shared" si="17"/>
        <v>0</v>
      </c>
      <c r="Q136" s="106"/>
      <c r="R136" s="235">
        <f>R47*R48/1000</f>
        <v>0</v>
      </c>
      <c r="S136" s="239">
        <f t="shared" si="12"/>
        <v>-100</v>
      </c>
      <c r="T136" s="235">
        <f>T47*T48/1000</f>
        <v>0</v>
      </c>
      <c r="U136" s="206">
        <f t="shared" si="13"/>
        <v>-100</v>
      </c>
      <c r="V136" s="212">
        <f t="shared" si="14"/>
        <v>-100</v>
      </c>
      <c r="W136" s="211">
        <f t="shared" si="18"/>
        <v>0</v>
      </c>
      <c r="X136" s="106">
        <f t="shared" si="19"/>
        <v>0</v>
      </c>
      <c r="Y136" s="158"/>
    </row>
    <row r="137" spans="1:25" ht="12" customHeight="1" hidden="1">
      <c r="A137" s="1" t="s">
        <v>62</v>
      </c>
      <c r="B137" s="40" t="s">
        <v>99</v>
      </c>
      <c r="C137" s="31" t="s">
        <v>8</v>
      </c>
      <c r="D137" s="217">
        <f>D53*D54/1000</f>
        <v>0</v>
      </c>
      <c r="E137" s="252"/>
      <c r="F137" s="213">
        <v>0</v>
      </c>
      <c r="G137" s="252"/>
      <c r="H137" s="105">
        <v>0</v>
      </c>
      <c r="I137" s="105"/>
      <c r="J137" s="235">
        <f>J53*J54/1000</f>
        <v>0</v>
      </c>
      <c r="K137" s="107" t="e">
        <f t="shared" si="11"/>
        <v>#DIV/0!</v>
      </c>
      <c r="L137" s="372">
        <f>L53*L54/1000</f>
        <v>0</v>
      </c>
      <c r="M137" s="90">
        <f t="shared" si="15"/>
        <v>-100</v>
      </c>
      <c r="N137" s="220">
        <f>N53*N54/1000</f>
        <v>0</v>
      </c>
      <c r="O137" s="90">
        <f t="shared" si="16"/>
        <v>-100</v>
      </c>
      <c r="P137" s="91">
        <f t="shared" si="17"/>
        <v>0</v>
      </c>
      <c r="Q137" s="106"/>
      <c r="R137" s="235">
        <f>R53*R54/1000</f>
        <v>0</v>
      </c>
      <c r="S137" s="239">
        <f t="shared" si="12"/>
        <v>-100</v>
      </c>
      <c r="T137" s="235">
        <f>T53*T54/1000</f>
        <v>0</v>
      </c>
      <c r="U137" s="206">
        <f t="shared" si="13"/>
        <v>-100</v>
      </c>
      <c r="V137" s="212">
        <f t="shared" si="14"/>
        <v>-100</v>
      </c>
      <c r="W137" s="211">
        <f t="shared" si="18"/>
        <v>0</v>
      </c>
      <c r="X137" s="106">
        <f t="shared" si="19"/>
        <v>0</v>
      </c>
      <c r="Y137" s="158"/>
    </row>
    <row r="138" spans="1:25" ht="12" customHeight="1" hidden="1">
      <c r="A138" s="1" t="s">
        <v>62</v>
      </c>
      <c r="B138" s="40" t="s">
        <v>100</v>
      </c>
      <c r="C138" s="31" t="s">
        <v>8</v>
      </c>
      <c r="D138" s="217">
        <f>D59*D60/1000</f>
        <v>0</v>
      </c>
      <c r="E138" s="252"/>
      <c r="F138" s="213">
        <v>0</v>
      </c>
      <c r="G138" s="252"/>
      <c r="H138" s="105">
        <v>0</v>
      </c>
      <c r="I138" s="105"/>
      <c r="J138" s="235">
        <f>J59*J60/1000</f>
        <v>0</v>
      </c>
      <c r="K138" s="107" t="e">
        <f aca="true" t="shared" si="20" ref="K138:K200">J138/H138*100-100</f>
        <v>#DIV/0!</v>
      </c>
      <c r="L138" s="372">
        <f>L59*L60/1000</f>
        <v>0</v>
      </c>
      <c r="M138" s="90">
        <f t="shared" si="15"/>
        <v>-100</v>
      </c>
      <c r="N138" s="220">
        <f>N59*N60/1000</f>
        <v>0</v>
      </c>
      <c r="O138" s="90">
        <f t="shared" si="16"/>
        <v>-100</v>
      </c>
      <c r="P138" s="91">
        <f t="shared" si="17"/>
        <v>0</v>
      </c>
      <c r="Q138" s="106"/>
      <c r="R138" s="235">
        <f>R59*R60/1000</f>
        <v>0</v>
      </c>
      <c r="S138" s="239">
        <f aca="true" t="shared" si="21" ref="S138:S200">R138/(H138+1E-106)*100-100</f>
        <v>-100</v>
      </c>
      <c r="T138" s="235">
        <f>T59*T60/1000</f>
        <v>0</v>
      </c>
      <c r="U138" s="206">
        <f aca="true" t="shared" si="22" ref="U138:U200">T138/(R138+1E-106)*100-100</f>
        <v>-100</v>
      </c>
      <c r="V138" s="212">
        <f aca="true" t="shared" si="23" ref="V138:V200">T138/(H138+1E-106)*100-100</f>
        <v>-100</v>
      </c>
      <c r="W138" s="211">
        <f t="shared" si="18"/>
        <v>0</v>
      </c>
      <c r="X138" s="106">
        <f t="shared" si="19"/>
        <v>0</v>
      </c>
      <c r="Y138" s="158"/>
    </row>
    <row r="139" spans="1:25" ht="12" customHeight="1" hidden="1">
      <c r="A139" s="1" t="s">
        <v>62</v>
      </c>
      <c r="B139" s="40" t="s">
        <v>101</v>
      </c>
      <c r="C139" s="31" t="s">
        <v>8</v>
      </c>
      <c r="D139" s="217">
        <f>D65*D66/1000</f>
        <v>0</v>
      </c>
      <c r="E139" s="252"/>
      <c r="F139" s="213">
        <v>0</v>
      </c>
      <c r="G139" s="252"/>
      <c r="H139" s="105">
        <v>0</v>
      </c>
      <c r="I139" s="105"/>
      <c r="J139" s="235">
        <f>J65*J66/1000</f>
        <v>0</v>
      </c>
      <c r="K139" s="107" t="e">
        <f t="shared" si="20"/>
        <v>#DIV/0!</v>
      </c>
      <c r="L139" s="372">
        <f>L65*L66/1000</f>
        <v>0</v>
      </c>
      <c r="M139" s="90">
        <f t="shared" si="15"/>
        <v>-100</v>
      </c>
      <c r="N139" s="220">
        <f>N65*N66/1000</f>
        <v>0</v>
      </c>
      <c r="O139" s="90">
        <f t="shared" si="16"/>
        <v>-100</v>
      </c>
      <c r="P139" s="91">
        <f t="shared" si="17"/>
        <v>0</v>
      </c>
      <c r="Q139" s="106"/>
      <c r="R139" s="235">
        <f>R65*R66/1000</f>
        <v>0</v>
      </c>
      <c r="S139" s="239">
        <f t="shared" si="21"/>
        <v>-100</v>
      </c>
      <c r="T139" s="235">
        <f>T65*T66/1000</f>
        <v>0</v>
      </c>
      <c r="U139" s="206">
        <f t="shared" si="22"/>
        <v>-100</v>
      </c>
      <c r="V139" s="212">
        <f t="shared" si="23"/>
        <v>-100</v>
      </c>
      <c r="W139" s="211">
        <f t="shared" si="18"/>
        <v>0</v>
      </c>
      <c r="X139" s="106">
        <f t="shared" si="19"/>
        <v>0</v>
      </c>
      <c r="Y139" s="158"/>
    </row>
    <row r="140" spans="1:25" s="250" customFormat="1" ht="12" customHeight="1">
      <c r="A140" s="51">
        <v>11</v>
      </c>
      <c r="B140" s="39" t="s">
        <v>9</v>
      </c>
      <c r="C140" s="52" t="s">
        <v>8</v>
      </c>
      <c r="D140" s="204">
        <f>D141+D146</f>
        <v>0</v>
      </c>
      <c r="E140" s="255">
        <f>E141+E146</f>
        <v>0</v>
      </c>
      <c r="F140" s="204">
        <v>24420.19</v>
      </c>
      <c r="G140" s="255">
        <v>1332.1</v>
      </c>
      <c r="H140" s="113">
        <f>H80*H79</f>
        <v>836.01</v>
      </c>
      <c r="I140" s="113">
        <v>1332.1</v>
      </c>
      <c r="J140" s="113">
        <f>J80*J79</f>
        <v>987.03</v>
      </c>
      <c r="K140" s="112">
        <f t="shared" si="20"/>
        <v>18.06</v>
      </c>
      <c r="L140" s="371">
        <f>L79*L80</f>
        <v>1439.1</v>
      </c>
      <c r="M140" s="88">
        <f t="shared" si="15"/>
        <v>72.1</v>
      </c>
      <c r="N140" s="204">
        <f>N141+N146</f>
        <v>0</v>
      </c>
      <c r="O140" s="88">
        <f t="shared" si="16"/>
        <v>-100</v>
      </c>
      <c r="P140" s="89">
        <f t="shared" si="17"/>
        <v>-1439.1</v>
      </c>
      <c r="Q140" s="87">
        <f>N140/($N$198+1E-103)*100</f>
        <v>0</v>
      </c>
      <c r="R140" s="113">
        <f>R80*R79</f>
        <v>987.1</v>
      </c>
      <c r="S140" s="205">
        <f t="shared" si="21"/>
        <v>18.07</v>
      </c>
      <c r="T140" s="113">
        <f>T80*T79</f>
        <v>1084.19</v>
      </c>
      <c r="U140" s="206">
        <f t="shared" si="22"/>
        <v>9.8</v>
      </c>
      <c r="V140" s="206">
        <f t="shared" si="23"/>
        <v>29.7</v>
      </c>
      <c r="W140" s="207">
        <f t="shared" si="18"/>
        <v>-354.9</v>
      </c>
      <c r="X140" s="87">
        <f t="shared" si="19"/>
        <v>8.2</v>
      </c>
      <c r="Y140" s="267"/>
    </row>
    <row r="141" spans="1:25" s="250" customFormat="1" ht="12" customHeight="1" hidden="1">
      <c r="A141" s="51"/>
      <c r="B141" s="155" t="s">
        <v>163</v>
      </c>
      <c r="C141" s="52" t="s">
        <v>8</v>
      </c>
      <c r="D141" s="204">
        <f>SUMIF(D142:D145,"&gt;0")</f>
        <v>0</v>
      </c>
      <c r="E141" s="248">
        <f>E142+E143+E144+E145</f>
        <v>0</v>
      </c>
      <c r="F141" s="204">
        <v>24420.19</v>
      </c>
      <c r="G141" s="255"/>
      <c r="H141" s="151">
        <v>1784.03</v>
      </c>
      <c r="I141" s="151"/>
      <c r="J141" s="265"/>
      <c r="K141" s="112">
        <f t="shared" si="20"/>
        <v>-100</v>
      </c>
      <c r="L141" s="371"/>
      <c r="M141" s="88">
        <f t="shared" si="15"/>
        <v>-100</v>
      </c>
      <c r="N141" s="268"/>
      <c r="O141" s="88">
        <f t="shared" si="16"/>
        <v>-100</v>
      </c>
      <c r="P141" s="89">
        <f t="shared" si="17"/>
        <v>0</v>
      </c>
      <c r="Q141" s="87"/>
      <c r="R141" s="265"/>
      <c r="S141" s="205">
        <f t="shared" si="21"/>
        <v>-100</v>
      </c>
      <c r="T141" s="265"/>
      <c r="U141" s="206">
        <f t="shared" si="22"/>
        <v>-100</v>
      </c>
      <c r="V141" s="206">
        <f t="shared" si="23"/>
        <v>-100</v>
      </c>
      <c r="W141" s="207">
        <f t="shared" si="18"/>
        <v>0</v>
      </c>
      <c r="X141" s="87">
        <f t="shared" si="19"/>
        <v>0</v>
      </c>
      <c r="Y141" s="267"/>
    </row>
    <row r="142" spans="1:25" s="250" customFormat="1" ht="12" customHeight="1" hidden="1">
      <c r="A142" s="51" t="s">
        <v>62</v>
      </c>
      <c r="B142" s="39" t="s">
        <v>124</v>
      </c>
      <c r="C142" s="52" t="s">
        <v>8</v>
      </c>
      <c r="D142" s="204">
        <f>D79*D80</f>
        <v>0</v>
      </c>
      <c r="E142" s="374"/>
      <c r="F142" s="247">
        <v>24420.19</v>
      </c>
      <c r="G142" s="374"/>
      <c r="H142" s="113">
        <v>1784.03</v>
      </c>
      <c r="I142" s="113"/>
      <c r="J142" s="265"/>
      <c r="K142" s="112">
        <f t="shared" si="20"/>
        <v>-100</v>
      </c>
      <c r="L142" s="371"/>
      <c r="M142" s="88">
        <f t="shared" si="15"/>
        <v>-100</v>
      </c>
      <c r="N142" s="204"/>
      <c r="O142" s="88">
        <f t="shared" si="16"/>
        <v>-100</v>
      </c>
      <c r="P142" s="89">
        <f t="shared" si="17"/>
        <v>0</v>
      </c>
      <c r="Q142" s="87"/>
      <c r="R142" s="265"/>
      <c r="S142" s="205">
        <f t="shared" si="21"/>
        <v>-100</v>
      </c>
      <c r="T142" s="265"/>
      <c r="U142" s="206">
        <f t="shared" si="22"/>
        <v>-100</v>
      </c>
      <c r="V142" s="206">
        <f t="shared" si="23"/>
        <v>-100</v>
      </c>
      <c r="W142" s="207">
        <f t="shared" si="18"/>
        <v>0</v>
      </c>
      <c r="X142" s="87">
        <f t="shared" si="19"/>
        <v>0</v>
      </c>
      <c r="Y142" s="267"/>
    </row>
    <row r="143" spans="1:25" s="250" customFormat="1" ht="12" customHeight="1" hidden="1">
      <c r="A143" s="51" t="s">
        <v>62</v>
      </c>
      <c r="B143" s="39" t="s">
        <v>125</v>
      </c>
      <c r="C143" s="52" t="s">
        <v>8</v>
      </c>
      <c r="D143" s="202">
        <f>D85*D86</f>
        <v>0</v>
      </c>
      <c r="E143" s="374"/>
      <c r="F143" s="247">
        <v>0</v>
      </c>
      <c r="G143" s="374"/>
      <c r="H143" s="113">
        <v>0</v>
      </c>
      <c r="I143" s="113"/>
      <c r="J143" s="265"/>
      <c r="K143" s="112" t="e">
        <f t="shared" si="20"/>
        <v>#DIV/0!</v>
      </c>
      <c r="L143" s="371"/>
      <c r="M143" s="88">
        <f t="shared" si="15"/>
        <v>-100</v>
      </c>
      <c r="N143" s="204"/>
      <c r="O143" s="88">
        <f t="shared" si="16"/>
        <v>-100</v>
      </c>
      <c r="P143" s="89">
        <f t="shared" si="17"/>
        <v>0</v>
      </c>
      <c r="Q143" s="87"/>
      <c r="R143" s="265"/>
      <c r="S143" s="205">
        <f t="shared" si="21"/>
        <v>-100</v>
      </c>
      <c r="T143" s="265"/>
      <c r="U143" s="206">
        <f t="shared" si="22"/>
        <v>-100</v>
      </c>
      <c r="V143" s="206">
        <f t="shared" si="23"/>
        <v>-100</v>
      </c>
      <c r="W143" s="207">
        <f t="shared" si="18"/>
        <v>0</v>
      </c>
      <c r="X143" s="87">
        <f t="shared" si="19"/>
        <v>0</v>
      </c>
      <c r="Y143" s="267"/>
    </row>
    <row r="144" spans="1:25" s="250" customFormat="1" ht="12" customHeight="1" hidden="1">
      <c r="A144" s="51" t="s">
        <v>62</v>
      </c>
      <c r="B144" s="39" t="s">
        <v>126</v>
      </c>
      <c r="C144" s="52" t="s">
        <v>8</v>
      </c>
      <c r="D144" s="202">
        <f>D91*D92</f>
        <v>0</v>
      </c>
      <c r="E144" s="374"/>
      <c r="F144" s="247">
        <v>0</v>
      </c>
      <c r="G144" s="374"/>
      <c r="H144" s="113">
        <v>0</v>
      </c>
      <c r="I144" s="113"/>
      <c r="J144" s="265"/>
      <c r="K144" s="112" t="e">
        <f t="shared" si="20"/>
        <v>#DIV/0!</v>
      </c>
      <c r="L144" s="371"/>
      <c r="M144" s="88">
        <f t="shared" si="15"/>
        <v>-100</v>
      </c>
      <c r="N144" s="204"/>
      <c r="O144" s="88">
        <f t="shared" si="16"/>
        <v>-100</v>
      </c>
      <c r="P144" s="89">
        <f t="shared" si="17"/>
        <v>0</v>
      </c>
      <c r="Q144" s="87"/>
      <c r="R144" s="265"/>
      <c r="S144" s="205">
        <f t="shared" si="21"/>
        <v>-100</v>
      </c>
      <c r="T144" s="265"/>
      <c r="U144" s="206">
        <f t="shared" si="22"/>
        <v>-100</v>
      </c>
      <c r="V144" s="206">
        <f t="shared" si="23"/>
        <v>-100</v>
      </c>
      <c r="W144" s="207">
        <f t="shared" si="18"/>
        <v>0</v>
      </c>
      <c r="X144" s="87">
        <f t="shared" si="19"/>
        <v>0</v>
      </c>
      <c r="Y144" s="267"/>
    </row>
    <row r="145" spans="1:25" s="250" customFormat="1" ht="12" customHeight="1" hidden="1">
      <c r="A145" s="51" t="s">
        <v>62</v>
      </c>
      <c r="B145" s="39" t="s">
        <v>127</v>
      </c>
      <c r="C145" s="52" t="s">
        <v>8</v>
      </c>
      <c r="D145" s="202">
        <f>D97*D98</f>
        <v>0</v>
      </c>
      <c r="E145" s="374"/>
      <c r="F145" s="247">
        <v>0</v>
      </c>
      <c r="G145" s="374"/>
      <c r="H145" s="113">
        <v>0</v>
      </c>
      <c r="I145" s="113"/>
      <c r="J145" s="265"/>
      <c r="K145" s="112" t="e">
        <f t="shared" si="20"/>
        <v>#DIV/0!</v>
      </c>
      <c r="L145" s="371"/>
      <c r="M145" s="88">
        <f t="shared" si="15"/>
        <v>-100</v>
      </c>
      <c r="N145" s="204"/>
      <c r="O145" s="88">
        <f t="shared" si="16"/>
        <v>-100</v>
      </c>
      <c r="P145" s="89">
        <f t="shared" si="17"/>
        <v>0</v>
      </c>
      <c r="Q145" s="87"/>
      <c r="R145" s="265"/>
      <c r="S145" s="205">
        <f t="shared" si="21"/>
        <v>-100</v>
      </c>
      <c r="T145" s="265"/>
      <c r="U145" s="206">
        <f t="shared" si="22"/>
        <v>-100</v>
      </c>
      <c r="V145" s="206">
        <f t="shared" si="23"/>
        <v>-100</v>
      </c>
      <c r="W145" s="207">
        <f t="shared" si="18"/>
        <v>0</v>
      </c>
      <c r="X145" s="87">
        <f t="shared" si="19"/>
        <v>0</v>
      </c>
      <c r="Y145" s="267"/>
    </row>
    <row r="146" spans="1:25" s="250" customFormat="1" ht="12" customHeight="1" hidden="1">
      <c r="A146" s="51"/>
      <c r="B146" s="155" t="s">
        <v>164</v>
      </c>
      <c r="C146" s="52" t="s">
        <v>8</v>
      </c>
      <c r="D146" s="202">
        <f>SUMIF(D147:D150,"&gt;0")</f>
        <v>0</v>
      </c>
      <c r="E146" s="255">
        <f>E147+E148+E149+E150</f>
        <v>0</v>
      </c>
      <c r="F146" s="204">
        <v>0</v>
      </c>
      <c r="G146" s="255"/>
      <c r="H146" s="151">
        <v>0</v>
      </c>
      <c r="I146" s="151"/>
      <c r="J146" s="265">
        <f>SUMIF(J147:J150,"&gt;0")</f>
        <v>0</v>
      </c>
      <c r="K146" s="112" t="e">
        <f t="shared" si="20"/>
        <v>#DIV/0!</v>
      </c>
      <c r="L146" s="371">
        <f>SUMIF(L147:L150,"&gt;0")</f>
        <v>0</v>
      </c>
      <c r="M146" s="88">
        <f t="shared" si="15"/>
        <v>-100</v>
      </c>
      <c r="N146" s="204">
        <f>SUMIF(N147:N150,"&gt;0")</f>
        <v>0</v>
      </c>
      <c r="O146" s="88">
        <f t="shared" si="16"/>
        <v>-100</v>
      </c>
      <c r="P146" s="89">
        <f t="shared" si="17"/>
        <v>0</v>
      </c>
      <c r="Q146" s="87"/>
      <c r="R146" s="265">
        <f>SUMIF(R147:R150,"&gt;0")</f>
        <v>0</v>
      </c>
      <c r="S146" s="205">
        <f t="shared" si="21"/>
        <v>-100</v>
      </c>
      <c r="T146" s="265">
        <f>SUMIF(T147:T150,"&gt;0")</f>
        <v>0</v>
      </c>
      <c r="U146" s="206">
        <f t="shared" si="22"/>
        <v>-100</v>
      </c>
      <c r="V146" s="206">
        <f t="shared" si="23"/>
        <v>-100</v>
      </c>
      <c r="W146" s="207">
        <f t="shared" si="18"/>
        <v>0</v>
      </c>
      <c r="X146" s="87">
        <f t="shared" si="19"/>
        <v>0</v>
      </c>
      <c r="Y146" s="267"/>
    </row>
    <row r="147" spans="1:25" s="250" customFormat="1" ht="12" customHeight="1" hidden="1">
      <c r="A147" s="51" t="s">
        <v>62</v>
      </c>
      <c r="B147" s="39" t="s">
        <v>124</v>
      </c>
      <c r="C147" s="52" t="s">
        <v>8</v>
      </c>
      <c r="D147" s="202">
        <f>D104*D105</f>
        <v>0</v>
      </c>
      <c r="E147" s="374"/>
      <c r="F147" s="247">
        <v>0</v>
      </c>
      <c r="G147" s="374"/>
      <c r="H147" s="113">
        <v>0</v>
      </c>
      <c r="I147" s="113"/>
      <c r="J147" s="265">
        <f>J104*J105+J107*12*J108</f>
        <v>0</v>
      </c>
      <c r="K147" s="112" t="e">
        <f t="shared" si="20"/>
        <v>#DIV/0!</v>
      </c>
      <c r="L147" s="371">
        <f>L104*L105+L107*12*L108</f>
        <v>0</v>
      </c>
      <c r="M147" s="88">
        <f t="shared" si="15"/>
        <v>-100</v>
      </c>
      <c r="N147" s="204">
        <f>N104*N105+N107*12*N108</f>
        <v>0</v>
      </c>
      <c r="O147" s="88">
        <f t="shared" si="16"/>
        <v>-100</v>
      </c>
      <c r="P147" s="89">
        <f t="shared" si="17"/>
        <v>0</v>
      </c>
      <c r="Q147" s="87"/>
      <c r="R147" s="265">
        <f>R104*R105+R107*12*R108</f>
        <v>0</v>
      </c>
      <c r="S147" s="205">
        <f t="shared" si="21"/>
        <v>-100</v>
      </c>
      <c r="T147" s="265">
        <f>T104*T105+T107*12*T108</f>
        <v>0</v>
      </c>
      <c r="U147" s="206">
        <f t="shared" si="22"/>
        <v>-100</v>
      </c>
      <c r="V147" s="206">
        <f t="shared" si="23"/>
        <v>-100</v>
      </c>
      <c r="W147" s="207">
        <f t="shared" si="18"/>
        <v>0</v>
      </c>
      <c r="X147" s="87">
        <f t="shared" si="19"/>
        <v>0</v>
      </c>
      <c r="Y147" s="267"/>
    </row>
    <row r="148" spans="1:25" s="250" customFormat="1" ht="12" customHeight="1" hidden="1">
      <c r="A148" s="51" t="s">
        <v>62</v>
      </c>
      <c r="B148" s="39" t="s">
        <v>125</v>
      </c>
      <c r="C148" s="52" t="s">
        <v>8</v>
      </c>
      <c r="D148" s="202">
        <f>D110*D111</f>
        <v>0</v>
      </c>
      <c r="E148" s="374"/>
      <c r="F148" s="247">
        <v>0</v>
      </c>
      <c r="G148" s="374"/>
      <c r="H148" s="113">
        <v>0</v>
      </c>
      <c r="I148" s="113"/>
      <c r="J148" s="265">
        <f>J110*J111+J113*12*J114</f>
        <v>0</v>
      </c>
      <c r="K148" s="112" t="e">
        <f t="shared" si="20"/>
        <v>#DIV/0!</v>
      </c>
      <c r="L148" s="371">
        <f>L110*L111+L113*12*L114</f>
        <v>0</v>
      </c>
      <c r="M148" s="88">
        <f t="shared" si="15"/>
        <v>-100</v>
      </c>
      <c r="N148" s="204">
        <f>N110*N111+N113*12*N114</f>
        <v>0</v>
      </c>
      <c r="O148" s="88">
        <f t="shared" si="16"/>
        <v>-100</v>
      </c>
      <c r="P148" s="89">
        <f t="shared" si="17"/>
        <v>0</v>
      </c>
      <c r="Q148" s="87"/>
      <c r="R148" s="265">
        <f>R110*R111+R113*12*R114</f>
        <v>0</v>
      </c>
      <c r="S148" s="205">
        <f t="shared" si="21"/>
        <v>-100</v>
      </c>
      <c r="T148" s="265">
        <f>T110*T111+T113*12*T114</f>
        <v>0</v>
      </c>
      <c r="U148" s="206">
        <f t="shared" si="22"/>
        <v>-100</v>
      </c>
      <c r="V148" s="206">
        <f t="shared" si="23"/>
        <v>-100</v>
      </c>
      <c r="W148" s="207">
        <f t="shared" si="18"/>
        <v>0</v>
      </c>
      <c r="X148" s="87">
        <f t="shared" si="19"/>
        <v>0</v>
      </c>
      <c r="Y148" s="267"/>
    </row>
    <row r="149" spans="1:25" s="250" customFormat="1" ht="12" customHeight="1" hidden="1">
      <c r="A149" s="51" t="s">
        <v>62</v>
      </c>
      <c r="B149" s="39" t="s">
        <v>126</v>
      </c>
      <c r="C149" s="52" t="s">
        <v>8</v>
      </c>
      <c r="D149" s="202">
        <f>D116*D117</f>
        <v>0</v>
      </c>
      <c r="E149" s="374"/>
      <c r="F149" s="247">
        <v>0</v>
      </c>
      <c r="G149" s="374"/>
      <c r="H149" s="113">
        <v>0</v>
      </c>
      <c r="I149" s="113"/>
      <c r="J149" s="265">
        <f>J116*J117+J119*12*J120</f>
        <v>0</v>
      </c>
      <c r="K149" s="112" t="e">
        <f t="shared" si="20"/>
        <v>#DIV/0!</v>
      </c>
      <c r="L149" s="371">
        <f>L116*L117+L119*12*L120</f>
        <v>0</v>
      </c>
      <c r="M149" s="88">
        <f t="shared" si="15"/>
        <v>-100</v>
      </c>
      <c r="N149" s="204">
        <f>N116*N117+N119*12*N120</f>
        <v>0</v>
      </c>
      <c r="O149" s="88">
        <f t="shared" si="16"/>
        <v>-100</v>
      </c>
      <c r="P149" s="89">
        <f t="shared" si="17"/>
        <v>0</v>
      </c>
      <c r="Q149" s="87"/>
      <c r="R149" s="265">
        <f>R116*R117+R119*12*R120</f>
        <v>0</v>
      </c>
      <c r="S149" s="205">
        <f t="shared" si="21"/>
        <v>-100</v>
      </c>
      <c r="T149" s="265">
        <f>T116*T117+T119*12*T120</f>
        <v>0</v>
      </c>
      <c r="U149" s="206">
        <f t="shared" si="22"/>
        <v>-100</v>
      </c>
      <c r="V149" s="206">
        <f t="shared" si="23"/>
        <v>-100</v>
      </c>
      <c r="W149" s="207">
        <f t="shared" si="18"/>
        <v>0</v>
      </c>
      <c r="X149" s="87">
        <f t="shared" si="19"/>
        <v>0</v>
      </c>
      <c r="Y149" s="267"/>
    </row>
    <row r="150" spans="1:25" s="250" customFormat="1" ht="12" customHeight="1" hidden="1">
      <c r="A150" s="51" t="s">
        <v>62</v>
      </c>
      <c r="B150" s="39" t="s">
        <v>127</v>
      </c>
      <c r="C150" s="52" t="s">
        <v>8</v>
      </c>
      <c r="D150" s="202">
        <f>D122*D123</f>
        <v>0</v>
      </c>
      <c r="E150" s="374"/>
      <c r="F150" s="247">
        <v>0</v>
      </c>
      <c r="G150" s="374"/>
      <c r="H150" s="113">
        <v>0</v>
      </c>
      <c r="I150" s="113"/>
      <c r="J150" s="265">
        <f>J122*J123+J125*12*J126</f>
        <v>0</v>
      </c>
      <c r="K150" s="112" t="e">
        <f t="shared" si="20"/>
        <v>#DIV/0!</v>
      </c>
      <c r="L150" s="371">
        <f>L122*L123+L125*12*L126</f>
        <v>0</v>
      </c>
      <c r="M150" s="88">
        <f t="shared" si="15"/>
        <v>-100</v>
      </c>
      <c r="N150" s="204">
        <f>N122*N123+N125*12*N126</f>
        <v>0</v>
      </c>
      <c r="O150" s="88">
        <f t="shared" si="16"/>
        <v>-100</v>
      </c>
      <c r="P150" s="89">
        <f t="shared" si="17"/>
        <v>0</v>
      </c>
      <c r="Q150" s="87"/>
      <c r="R150" s="265">
        <f>R122*R123+R125*12*R126</f>
        <v>0</v>
      </c>
      <c r="S150" s="205">
        <f t="shared" si="21"/>
        <v>-100</v>
      </c>
      <c r="T150" s="265">
        <f>T122*T123+T125*12*T126</f>
        <v>0</v>
      </c>
      <c r="U150" s="206">
        <f t="shared" si="22"/>
        <v>-100</v>
      </c>
      <c r="V150" s="206">
        <f t="shared" si="23"/>
        <v>-100</v>
      </c>
      <c r="W150" s="207">
        <f t="shared" si="18"/>
        <v>0</v>
      </c>
      <c r="X150" s="87">
        <f t="shared" si="19"/>
        <v>0</v>
      </c>
      <c r="Y150" s="267"/>
    </row>
    <row r="151" spans="1:25" s="250" customFormat="1" ht="12" customHeight="1">
      <c r="A151" s="51">
        <v>12</v>
      </c>
      <c r="B151" s="39" t="s">
        <v>10</v>
      </c>
      <c r="C151" s="52" t="s">
        <v>8</v>
      </c>
      <c r="D151" s="204">
        <f>D130*D129</f>
        <v>0</v>
      </c>
      <c r="E151" s="249"/>
      <c r="F151" s="247">
        <v>2345.59</v>
      </c>
      <c r="G151" s="374">
        <v>163.93</v>
      </c>
      <c r="H151" s="113">
        <f>H130*H129</f>
        <v>128.41</v>
      </c>
      <c r="I151" s="113">
        <v>163.93</v>
      </c>
      <c r="J151" s="265">
        <f>J130*J129</f>
        <v>151.5</v>
      </c>
      <c r="K151" s="112">
        <f t="shared" si="20"/>
        <v>17.98</v>
      </c>
      <c r="L151" s="371">
        <f>L130*L129</f>
        <v>217.1</v>
      </c>
      <c r="M151" s="88">
        <f t="shared" si="15"/>
        <v>69.1</v>
      </c>
      <c r="N151" s="204">
        <f>N130*N129</f>
        <v>0</v>
      </c>
      <c r="O151" s="88">
        <f t="shared" si="16"/>
        <v>-100</v>
      </c>
      <c r="P151" s="89">
        <f t="shared" si="17"/>
        <v>-217.1</v>
      </c>
      <c r="Q151" s="87">
        <f>N151/($N$198+1E-103)*100</f>
        <v>0</v>
      </c>
      <c r="R151" s="265">
        <f>R130*R129</f>
        <v>151.5</v>
      </c>
      <c r="S151" s="205">
        <f t="shared" si="21"/>
        <v>17.98</v>
      </c>
      <c r="T151" s="265">
        <f>T130*T129</f>
        <v>169.6</v>
      </c>
      <c r="U151" s="206">
        <f t="shared" si="22"/>
        <v>11.9</v>
      </c>
      <c r="V151" s="206">
        <f t="shared" si="23"/>
        <v>32.1</v>
      </c>
      <c r="W151" s="207">
        <f t="shared" si="18"/>
        <v>-47.5</v>
      </c>
      <c r="X151" s="87">
        <f t="shared" si="19"/>
        <v>1.3</v>
      </c>
      <c r="Y151" s="269"/>
    </row>
    <row r="152" spans="1:25" s="250" customFormat="1" ht="12" customHeight="1">
      <c r="A152" s="51">
        <v>13</v>
      </c>
      <c r="B152" s="39" t="s">
        <v>11</v>
      </c>
      <c r="C152" s="52" t="s">
        <v>8</v>
      </c>
      <c r="D152" s="247"/>
      <c r="E152" s="249"/>
      <c r="F152" s="247">
        <v>678.71</v>
      </c>
      <c r="G152" s="374">
        <v>164.36</v>
      </c>
      <c r="H152" s="126">
        <f>I152</f>
        <v>164.36</v>
      </c>
      <c r="I152" s="126">
        <v>164.36</v>
      </c>
      <c r="J152" s="126">
        <f>1.18*164.36</f>
        <v>193.94</v>
      </c>
      <c r="K152" s="112">
        <f t="shared" si="20"/>
        <v>18</v>
      </c>
      <c r="L152" s="366">
        <f>T152</f>
        <v>199.8</v>
      </c>
      <c r="M152" s="88">
        <f t="shared" si="15"/>
        <v>21.6</v>
      </c>
      <c r="N152" s="247"/>
      <c r="O152" s="88"/>
      <c r="P152" s="89"/>
      <c r="Q152" s="87"/>
      <c r="R152" s="229">
        <f>J152</f>
        <v>193.94</v>
      </c>
      <c r="S152" s="205">
        <f t="shared" si="21"/>
        <v>18</v>
      </c>
      <c r="T152" s="265">
        <f>R152*1.03</f>
        <v>199.8</v>
      </c>
      <c r="U152" s="206">
        <f>T152/(R152+1E-106)*100-100</f>
        <v>3</v>
      </c>
      <c r="V152" s="206">
        <f t="shared" si="23"/>
        <v>21.6</v>
      </c>
      <c r="W152" s="207">
        <f>T152-L152</f>
        <v>0</v>
      </c>
      <c r="X152" s="87">
        <f>T152/($T$198+1E-103)*100</f>
        <v>1.5</v>
      </c>
      <c r="Y152" s="270"/>
    </row>
    <row r="153" spans="1:25" s="250" customFormat="1" ht="12" customHeight="1">
      <c r="A153" s="51">
        <v>14</v>
      </c>
      <c r="B153" s="39" t="s">
        <v>12</v>
      </c>
      <c r="C153" s="52" t="s">
        <v>8</v>
      </c>
      <c r="D153" s="247"/>
      <c r="E153" s="249"/>
      <c r="F153" s="247">
        <v>11596.47</v>
      </c>
      <c r="G153" s="374">
        <v>1242.38</v>
      </c>
      <c r="H153" s="126">
        <v>1053.98</v>
      </c>
      <c r="I153" s="126">
        <v>1242.38</v>
      </c>
      <c r="J153" s="126">
        <f>10*12*10</f>
        <v>1200</v>
      </c>
      <c r="K153" s="112">
        <f t="shared" si="20"/>
        <v>13.85</v>
      </c>
      <c r="L153" s="448">
        <f>G153*1.051</f>
        <v>1305.74</v>
      </c>
      <c r="M153" s="88">
        <f t="shared" si="15"/>
        <v>23.9</v>
      </c>
      <c r="N153" s="247"/>
      <c r="O153" s="88">
        <f t="shared" si="16"/>
        <v>-100</v>
      </c>
      <c r="P153" s="89">
        <f t="shared" si="17"/>
        <v>-1305.74</v>
      </c>
      <c r="Q153" s="87">
        <f>N153/($N$198+1E-103)*100</f>
        <v>0</v>
      </c>
      <c r="R153" s="229">
        <f>J153</f>
        <v>1200</v>
      </c>
      <c r="S153" s="205">
        <f t="shared" si="21"/>
        <v>13.85</v>
      </c>
      <c r="T153" s="265">
        <f>J153*1.051</f>
        <v>1261.2</v>
      </c>
      <c r="U153" s="206">
        <f t="shared" si="22"/>
        <v>5.1</v>
      </c>
      <c r="V153" s="206">
        <f t="shared" si="23"/>
        <v>19.7</v>
      </c>
      <c r="W153" s="207">
        <f t="shared" si="18"/>
        <v>-44.5</v>
      </c>
      <c r="X153" s="87">
        <f t="shared" si="19"/>
        <v>9.5</v>
      </c>
      <c r="Y153" s="270"/>
    </row>
    <row r="154" spans="1:25" ht="12" customHeight="1">
      <c r="A154" s="1"/>
      <c r="B154" s="40" t="s">
        <v>13</v>
      </c>
      <c r="C154" s="44" t="s">
        <v>14</v>
      </c>
      <c r="D154" s="214">
        <f>D153/12/(D155+1E-100)*1000</f>
        <v>0</v>
      </c>
      <c r="E154" s="252">
        <f>E153/12/(E155+1E-100)*1000</f>
        <v>0</v>
      </c>
      <c r="F154" s="213">
        <v>7211.73</v>
      </c>
      <c r="G154" s="252">
        <v>9412</v>
      </c>
      <c r="H154" s="235">
        <f>H153/12/(H155+1E-100)*1000</f>
        <v>8783.2</v>
      </c>
      <c r="I154" s="213">
        <v>9412</v>
      </c>
      <c r="J154" s="235">
        <f>J153/12/(J155+1E-100)*1000</f>
        <v>10000</v>
      </c>
      <c r="K154" s="107">
        <f t="shared" si="20"/>
        <v>13.85</v>
      </c>
      <c r="L154" s="373">
        <f>L153/L155/12*1000</f>
        <v>10881.2</v>
      </c>
      <c r="M154" s="90">
        <f t="shared" si="15"/>
        <v>23.9</v>
      </c>
      <c r="N154" s="213">
        <f>N153/12/(N155+1E-100)*1000</f>
        <v>0</v>
      </c>
      <c r="O154" s="90">
        <f t="shared" si="16"/>
        <v>-100</v>
      </c>
      <c r="P154" s="91">
        <f t="shared" si="17"/>
        <v>-10881.2</v>
      </c>
      <c r="Q154" s="106"/>
      <c r="R154" s="235">
        <f>R153/12/(R155+1E-100)*1000</f>
        <v>10000</v>
      </c>
      <c r="S154" s="239">
        <f t="shared" si="21"/>
        <v>13.85</v>
      </c>
      <c r="T154" s="235">
        <f>T153/12/(T155+1E-100)*1000</f>
        <v>10510</v>
      </c>
      <c r="U154" s="212">
        <f t="shared" si="22"/>
        <v>5.1</v>
      </c>
      <c r="V154" s="212">
        <f t="shared" si="23"/>
        <v>19.7</v>
      </c>
      <c r="W154" s="211">
        <f t="shared" si="18"/>
        <v>-371.2</v>
      </c>
      <c r="X154" s="106"/>
      <c r="Y154" s="163"/>
    </row>
    <row r="155" spans="1:25" ht="12" customHeight="1">
      <c r="A155" s="1"/>
      <c r="B155" s="40" t="s">
        <v>35</v>
      </c>
      <c r="C155" s="44" t="s">
        <v>42</v>
      </c>
      <c r="D155" s="271"/>
      <c r="E155" s="272"/>
      <c r="F155" s="295">
        <v>134</v>
      </c>
      <c r="G155" s="389">
        <v>10</v>
      </c>
      <c r="H155" s="98">
        <v>10</v>
      </c>
      <c r="I155" s="98">
        <v>10</v>
      </c>
      <c r="J155" s="98">
        <v>10</v>
      </c>
      <c r="K155" s="107">
        <f t="shared" si="20"/>
        <v>0</v>
      </c>
      <c r="L155" s="365">
        <v>10</v>
      </c>
      <c r="M155" s="90">
        <f t="shared" si="15"/>
        <v>0</v>
      </c>
      <c r="N155" s="213"/>
      <c r="O155" s="90">
        <f t="shared" si="16"/>
        <v>-100</v>
      </c>
      <c r="P155" s="91">
        <f t="shared" si="17"/>
        <v>-10</v>
      </c>
      <c r="Q155" s="106"/>
      <c r="R155" s="235">
        <f>H155</f>
        <v>10</v>
      </c>
      <c r="S155" s="239">
        <f t="shared" si="21"/>
        <v>0</v>
      </c>
      <c r="T155" s="235">
        <f>H155</f>
        <v>10</v>
      </c>
      <c r="U155" s="212">
        <f t="shared" si="22"/>
        <v>0</v>
      </c>
      <c r="V155" s="212">
        <f t="shared" si="23"/>
        <v>0</v>
      </c>
      <c r="W155" s="211">
        <f t="shared" si="18"/>
        <v>0</v>
      </c>
      <c r="X155" s="106">
        <f t="shared" si="19"/>
        <v>0.1</v>
      </c>
      <c r="Y155" s="163"/>
    </row>
    <row r="156" spans="1:25" s="250" customFormat="1" ht="12" customHeight="1">
      <c r="A156" s="51">
        <v>15</v>
      </c>
      <c r="B156" s="39" t="s">
        <v>194</v>
      </c>
      <c r="C156" s="52" t="s">
        <v>8</v>
      </c>
      <c r="D156" s="247"/>
      <c r="E156" s="249"/>
      <c r="F156" s="247">
        <v>3942.8</v>
      </c>
      <c r="G156" s="374">
        <v>424.89</v>
      </c>
      <c r="H156" s="247">
        <f>H153*0.342</f>
        <v>360.46</v>
      </c>
      <c r="I156" s="247">
        <f>I153*0.342</f>
        <v>424.89</v>
      </c>
      <c r="J156" s="247">
        <f>J153*0.342</f>
        <v>410.4</v>
      </c>
      <c r="K156" s="112">
        <f t="shared" si="20"/>
        <v>13.85</v>
      </c>
      <c r="L156" s="374">
        <f>L153*0.342</f>
        <v>446.56</v>
      </c>
      <c r="M156" s="88">
        <f t="shared" si="15"/>
        <v>23.9</v>
      </c>
      <c r="N156" s="247"/>
      <c r="O156" s="88">
        <f t="shared" si="16"/>
        <v>-100</v>
      </c>
      <c r="P156" s="89">
        <f t="shared" si="17"/>
        <v>-446.56</v>
      </c>
      <c r="Q156" s="87">
        <f>N156/($N$198+1E-103)*100</f>
        <v>0</v>
      </c>
      <c r="R156" s="247">
        <f>R153*0.342</f>
        <v>410.4</v>
      </c>
      <c r="S156" s="239">
        <f t="shared" si="21"/>
        <v>13.85</v>
      </c>
      <c r="T156" s="247">
        <f>T153*0.342</f>
        <v>431.33</v>
      </c>
      <c r="U156" s="206">
        <f t="shared" si="22"/>
        <v>5.1</v>
      </c>
      <c r="V156" s="212">
        <f t="shared" si="23"/>
        <v>19.7</v>
      </c>
      <c r="W156" s="207">
        <f t="shared" si="18"/>
        <v>-15.2</v>
      </c>
      <c r="X156" s="87">
        <f t="shared" si="19"/>
        <v>3.3</v>
      </c>
      <c r="Y156" s="270"/>
    </row>
    <row r="157" spans="1:25" s="250" customFormat="1" ht="12" customHeight="1">
      <c r="A157" s="51">
        <v>16</v>
      </c>
      <c r="B157" s="39" t="s">
        <v>15</v>
      </c>
      <c r="C157" s="52" t="s">
        <v>8</v>
      </c>
      <c r="D157" s="247"/>
      <c r="E157" s="249"/>
      <c r="F157" s="247">
        <v>3086.5</v>
      </c>
      <c r="G157" s="374">
        <v>302</v>
      </c>
      <c r="H157" s="126">
        <f>I157</f>
        <v>302</v>
      </c>
      <c r="I157" s="126">
        <v>302</v>
      </c>
      <c r="J157" s="126">
        <v>302</v>
      </c>
      <c r="K157" s="112">
        <f t="shared" si="20"/>
        <v>0</v>
      </c>
      <c r="L157" s="450">
        <f>G157</f>
        <v>302</v>
      </c>
      <c r="M157" s="88">
        <f t="shared" si="15"/>
        <v>0</v>
      </c>
      <c r="N157" s="247"/>
      <c r="O157" s="88">
        <f t="shared" si="16"/>
        <v>-100</v>
      </c>
      <c r="P157" s="89">
        <f t="shared" si="17"/>
        <v>-302</v>
      </c>
      <c r="Q157" s="87">
        <f>N157/($N$198+1E-103)*100</f>
        <v>0</v>
      </c>
      <c r="R157" s="265">
        <f>H157</f>
        <v>302</v>
      </c>
      <c r="S157" s="205">
        <f t="shared" si="21"/>
        <v>0</v>
      </c>
      <c r="T157" s="265">
        <f>H157</f>
        <v>302</v>
      </c>
      <c r="U157" s="206">
        <f t="shared" si="22"/>
        <v>0</v>
      </c>
      <c r="V157" s="206">
        <f t="shared" si="23"/>
        <v>0</v>
      </c>
      <c r="W157" s="207">
        <f t="shared" si="18"/>
        <v>0</v>
      </c>
      <c r="X157" s="87">
        <f t="shared" si="19"/>
        <v>2.3</v>
      </c>
      <c r="Y157" s="270"/>
    </row>
    <row r="158" spans="1:25" s="250" customFormat="1" ht="12" customHeight="1">
      <c r="A158" s="51">
        <v>17</v>
      </c>
      <c r="B158" s="39" t="s">
        <v>74</v>
      </c>
      <c r="C158" s="52" t="s">
        <v>8</v>
      </c>
      <c r="D158" s="273">
        <f>D161+D160+D159</f>
        <v>0</v>
      </c>
      <c r="E158" s="274">
        <f>E161+E160+E159</f>
        <v>0</v>
      </c>
      <c r="F158" s="273">
        <v>5574</v>
      </c>
      <c r="G158" s="390">
        <v>542.8</v>
      </c>
      <c r="H158" s="263">
        <f>H161+H160+H159</f>
        <v>542.8</v>
      </c>
      <c r="I158" s="263">
        <f>I161+I160+I159</f>
        <v>542.8</v>
      </c>
      <c r="J158" s="263">
        <f>J161+J160+J159</f>
        <v>932.69</v>
      </c>
      <c r="K158" s="107">
        <f t="shared" si="20"/>
        <v>71.83</v>
      </c>
      <c r="L158" s="376">
        <f>L161+L160+L159</f>
        <v>960.67</v>
      </c>
      <c r="M158" s="88">
        <f t="shared" si="15"/>
        <v>77</v>
      </c>
      <c r="N158" s="204">
        <f>N161+N160+N159</f>
        <v>0</v>
      </c>
      <c r="O158" s="88">
        <f t="shared" si="16"/>
        <v>-100</v>
      </c>
      <c r="P158" s="89">
        <f t="shared" si="17"/>
        <v>-960.67</v>
      </c>
      <c r="Q158" s="87">
        <f>N158/($N$198+1E-103)*100</f>
        <v>0</v>
      </c>
      <c r="R158" s="263">
        <f>R161+R160+R159</f>
        <v>932.69</v>
      </c>
      <c r="S158" s="239">
        <f t="shared" si="21"/>
        <v>71.83</v>
      </c>
      <c r="T158" s="263">
        <f>T161+T160+T159</f>
        <v>960.67</v>
      </c>
      <c r="U158" s="206">
        <f t="shared" si="22"/>
        <v>3</v>
      </c>
      <c r="V158" s="212">
        <f t="shared" si="23"/>
        <v>77</v>
      </c>
      <c r="W158" s="207">
        <f t="shared" si="18"/>
        <v>0</v>
      </c>
      <c r="X158" s="87">
        <f t="shared" si="19"/>
        <v>7.3</v>
      </c>
      <c r="Y158" s="275"/>
    </row>
    <row r="159" spans="1:25" ht="12" customHeight="1">
      <c r="A159" s="1" t="s">
        <v>62</v>
      </c>
      <c r="B159" s="40" t="s">
        <v>23</v>
      </c>
      <c r="C159" s="31" t="s">
        <v>8</v>
      </c>
      <c r="D159" s="213"/>
      <c r="E159" s="272"/>
      <c r="F159" s="295">
        <v>885.5</v>
      </c>
      <c r="G159" s="389">
        <v>131.7</v>
      </c>
      <c r="H159" s="98">
        <f>I159</f>
        <v>131.7</v>
      </c>
      <c r="I159" s="98">
        <v>131.7</v>
      </c>
      <c r="J159" s="98">
        <v>255.41</v>
      </c>
      <c r="K159" s="107">
        <f t="shared" si="20"/>
        <v>93.93</v>
      </c>
      <c r="L159" s="369">
        <f>T159</f>
        <v>263.07</v>
      </c>
      <c r="M159" s="90">
        <f t="shared" si="15"/>
        <v>99.7</v>
      </c>
      <c r="N159" s="213"/>
      <c r="O159" s="90">
        <f t="shared" si="16"/>
        <v>-100</v>
      </c>
      <c r="P159" s="91">
        <f t="shared" si="17"/>
        <v>-263.07</v>
      </c>
      <c r="Q159" s="106"/>
      <c r="R159" s="260">
        <f>J159</f>
        <v>255.41</v>
      </c>
      <c r="S159" s="239">
        <f t="shared" si="21"/>
        <v>93.93</v>
      </c>
      <c r="T159" s="277">
        <f>J159*1.03</f>
        <v>263.07</v>
      </c>
      <c r="U159" s="212">
        <f t="shared" si="22"/>
        <v>3</v>
      </c>
      <c r="V159" s="212">
        <f t="shared" si="23"/>
        <v>99.7</v>
      </c>
      <c r="W159" s="211">
        <f t="shared" si="18"/>
        <v>0</v>
      </c>
      <c r="X159" s="106">
        <f t="shared" si="19"/>
        <v>2</v>
      </c>
      <c r="Y159" s="549" t="s">
        <v>251</v>
      </c>
    </row>
    <row r="160" spans="1:25" ht="12" customHeight="1">
      <c r="A160" s="1" t="s">
        <v>62</v>
      </c>
      <c r="B160" s="40" t="s">
        <v>16</v>
      </c>
      <c r="C160" s="31" t="s">
        <v>8</v>
      </c>
      <c r="D160" s="213"/>
      <c r="E160" s="272"/>
      <c r="F160" s="295">
        <v>2208.6</v>
      </c>
      <c r="G160" s="389">
        <v>318.7</v>
      </c>
      <c r="H160" s="98">
        <f>I160</f>
        <v>318.7</v>
      </c>
      <c r="I160" s="98">
        <v>318.7</v>
      </c>
      <c r="J160" s="98">
        <v>568</v>
      </c>
      <c r="K160" s="107">
        <f t="shared" si="20"/>
        <v>78.22</v>
      </c>
      <c r="L160" s="369">
        <f>T160</f>
        <v>585.04</v>
      </c>
      <c r="M160" s="90">
        <f t="shared" si="15"/>
        <v>83.6</v>
      </c>
      <c r="N160" s="213"/>
      <c r="O160" s="90"/>
      <c r="P160" s="91"/>
      <c r="Q160" s="106"/>
      <c r="R160" s="260">
        <f>J160</f>
        <v>568</v>
      </c>
      <c r="S160" s="239">
        <f t="shared" si="21"/>
        <v>78.22</v>
      </c>
      <c r="T160" s="277">
        <f>J160*1.03</f>
        <v>585.04</v>
      </c>
      <c r="U160" s="212">
        <f>T160/(R160+1E-106)*100-100</f>
        <v>3</v>
      </c>
      <c r="V160" s="212">
        <f t="shared" si="23"/>
        <v>83.6</v>
      </c>
      <c r="W160" s="211">
        <f>T160-L160</f>
        <v>0</v>
      </c>
      <c r="X160" s="106">
        <f>T160/($T$198+1E-103)*100</f>
        <v>4.4</v>
      </c>
      <c r="Y160" s="550"/>
    </row>
    <row r="161" spans="1:26" ht="12" customHeight="1">
      <c r="A161" s="1" t="s">
        <v>62</v>
      </c>
      <c r="B161" s="40" t="s">
        <v>24</v>
      </c>
      <c r="C161" s="31" t="s">
        <v>8</v>
      </c>
      <c r="D161" s="213"/>
      <c r="E161" s="236"/>
      <c r="F161" s="213">
        <v>2479.9</v>
      </c>
      <c r="G161" s="252">
        <v>92.4</v>
      </c>
      <c r="H161" s="98">
        <f>I161</f>
        <v>92.4</v>
      </c>
      <c r="I161" s="98">
        <v>92.4</v>
      </c>
      <c r="J161" s="98">
        <v>109.28</v>
      </c>
      <c r="K161" s="107">
        <f t="shared" si="20"/>
        <v>18.27</v>
      </c>
      <c r="L161" s="369">
        <f>T161</f>
        <v>112.56</v>
      </c>
      <c r="M161" s="90">
        <f t="shared" si="15"/>
        <v>21.8</v>
      </c>
      <c r="N161" s="213"/>
      <c r="O161" s="90"/>
      <c r="P161" s="91"/>
      <c r="Q161" s="106"/>
      <c r="R161" s="260">
        <f>J161</f>
        <v>109.28</v>
      </c>
      <c r="S161" s="239">
        <f t="shared" si="21"/>
        <v>18.27</v>
      </c>
      <c r="T161" s="277">
        <f>J161*1.03</f>
        <v>112.56</v>
      </c>
      <c r="U161" s="212">
        <f>T161/(R161+1E-106)*100-100</f>
        <v>3</v>
      </c>
      <c r="V161" s="212">
        <f t="shared" si="23"/>
        <v>21.8</v>
      </c>
      <c r="W161" s="211">
        <f>T161-L161</f>
        <v>0</v>
      </c>
      <c r="X161" s="106">
        <f>T161/($T$198+1E-103)*100</f>
        <v>0.8</v>
      </c>
      <c r="Y161" s="160"/>
      <c r="Z161" s="12"/>
    </row>
    <row r="162" spans="1:26" s="250" customFormat="1" ht="12" customHeight="1">
      <c r="A162" s="51">
        <v>18</v>
      </c>
      <c r="B162" s="39" t="s">
        <v>117</v>
      </c>
      <c r="C162" s="52" t="s">
        <v>8</v>
      </c>
      <c r="D162" s="204">
        <f>D163+D166+D167</f>
        <v>0</v>
      </c>
      <c r="E162" s="248">
        <f>E163+E166+E167</f>
        <v>0</v>
      </c>
      <c r="F162" s="204">
        <v>5440.35</v>
      </c>
      <c r="G162" s="255">
        <v>676.37</v>
      </c>
      <c r="H162" s="265">
        <f>H163+H166+H167</f>
        <v>519.1</v>
      </c>
      <c r="I162" s="113">
        <f>I163+I166</f>
        <v>676.37</v>
      </c>
      <c r="J162" s="265">
        <f>J163+J166+J167</f>
        <v>525.6</v>
      </c>
      <c r="K162" s="112">
        <f t="shared" si="20"/>
        <v>1.25</v>
      </c>
      <c r="L162" s="371">
        <f>L163+L166+L167</f>
        <v>717.5</v>
      </c>
      <c r="M162" s="88">
        <f t="shared" si="15"/>
        <v>38.2</v>
      </c>
      <c r="N162" s="204">
        <f>N163+N166+N167</f>
        <v>0</v>
      </c>
      <c r="O162" s="88">
        <f>N162/(H162+1E-106)*100-100</f>
        <v>-100</v>
      </c>
      <c r="P162" s="89">
        <f t="shared" si="17"/>
        <v>-717.5</v>
      </c>
      <c r="Q162" s="87">
        <f>N162/($N$198+1E-103)*100</f>
        <v>0</v>
      </c>
      <c r="R162" s="278">
        <f>R163+R166+R167</f>
        <v>525.6</v>
      </c>
      <c r="S162" s="205">
        <f t="shared" si="21"/>
        <v>1.25</v>
      </c>
      <c r="T162" s="278">
        <f>T163+T166+T167</f>
        <v>709.6</v>
      </c>
      <c r="U162" s="206">
        <f t="shared" si="22"/>
        <v>35</v>
      </c>
      <c r="V162" s="206">
        <f t="shared" si="23"/>
        <v>36.7</v>
      </c>
      <c r="W162" s="207">
        <f t="shared" si="18"/>
        <v>-7.9</v>
      </c>
      <c r="X162" s="87">
        <f t="shared" si="19"/>
        <v>5.4</v>
      </c>
      <c r="Y162" s="270"/>
      <c r="Z162" s="279"/>
    </row>
    <row r="163" spans="1:26" ht="12" customHeight="1">
      <c r="A163" s="1" t="s">
        <v>62</v>
      </c>
      <c r="B163" s="40" t="s">
        <v>118</v>
      </c>
      <c r="C163" s="31" t="s">
        <v>8</v>
      </c>
      <c r="D163" s="213"/>
      <c r="E163" s="236"/>
      <c r="F163" s="213">
        <v>4059.96</v>
      </c>
      <c r="G163" s="252">
        <v>504</v>
      </c>
      <c r="H163" s="98">
        <f>10*3*12</f>
        <v>360</v>
      </c>
      <c r="I163" s="98">
        <v>504</v>
      </c>
      <c r="J163" s="98">
        <v>360</v>
      </c>
      <c r="K163" s="107">
        <f t="shared" si="20"/>
        <v>0</v>
      </c>
      <c r="L163" s="365">
        <v>504</v>
      </c>
      <c r="M163" s="90">
        <f t="shared" si="15"/>
        <v>40</v>
      </c>
      <c r="N163" s="213"/>
      <c r="O163" s="90">
        <f>N163/(H163+1E-106)*100-100</f>
        <v>-100</v>
      </c>
      <c r="P163" s="91">
        <f t="shared" si="17"/>
        <v>-504</v>
      </c>
      <c r="Q163" s="106"/>
      <c r="R163" s="234">
        <f>H163</f>
        <v>360</v>
      </c>
      <c r="S163" s="239">
        <f t="shared" si="21"/>
        <v>0</v>
      </c>
      <c r="T163" s="235">
        <v>496.1</v>
      </c>
      <c r="U163" s="212">
        <f t="shared" si="22"/>
        <v>37.8</v>
      </c>
      <c r="V163" s="212">
        <f t="shared" si="23"/>
        <v>37.8</v>
      </c>
      <c r="W163" s="211">
        <f t="shared" si="18"/>
        <v>-7.9</v>
      </c>
      <c r="X163" s="106">
        <f t="shared" si="19"/>
        <v>3.7</v>
      </c>
      <c r="Y163" s="163"/>
      <c r="Z163" s="12"/>
    </row>
    <row r="164" spans="1:26" ht="12" customHeight="1">
      <c r="A164" s="1"/>
      <c r="B164" s="40" t="s">
        <v>169</v>
      </c>
      <c r="C164" s="44" t="s">
        <v>14</v>
      </c>
      <c r="D164" s="214">
        <f>D163/12/(D165+1E-100)*1000</f>
        <v>0</v>
      </c>
      <c r="E164" s="252">
        <f>E163/12/(E165+1E-100)*1000</f>
        <v>0</v>
      </c>
      <c r="F164" s="213">
        <v>2524.85</v>
      </c>
      <c r="G164" s="252">
        <v>14000</v>
      </c>
      <c r="H164" s="235">
        <f>H163/12/(H165+1E-100)*1000</f>
        <v>10000</v>
      </c>
      <c r="I164" s="235">
        <v>14000</v>
      </c>
      <c r="J164" s="235">
        <v>10000</v>
      </c>
      <c r="K164" s="107">
        <f t="shared" si="20"/>
        <v>0</v>
      </c>
      <c r="L164" s="365">
        <f>L163/L165/12*1000</f>
        <v>14000</v>
      </c>
      <c r="M164" s="90">
        <f t="shared" si="15"/>
        <v>40</v>
      </c>
      <c r="N164" s="213"/>
      <c r="O164" s="90">
        <f>N164/(H164+1E-106)*100-100</f>
        <v>-100</v>
      </c>
      <c r="P164" s="91"/>
      <c r="Q164" s="106"/>
      <c r="R164" s="234">
        <f>H164</f>
        <v>10000</v>
      </c>
      <c r="S164" s="239">
        <f t="shared" si="21"/>
        <v>0</v>
      </c>
      <c r="T164" s="234">
        <f>T163/12/(T165+1E-100)*1000</f>
        <v>13780.6</v>
      </c>
      <c r="U164" s="212">
        <f t="shared" si="22"/>
        <v>37.8</v>
      </c>
      <c r="V164" s="212">
        <f t="shared" si="23"/>
        <v>37.8</v>
      </c>
      <c r="W164" s="211">
        <f t="shared" si="18"/>
        <v>-219.4</v>
      </c>
      <c r="X164" s="106"/>
      <c r="Y164" s="163" t="s">
        <v>247</v>
      </c>
      <c r="Z164" s="12"/>
    </row>
    <row r="165" spans="1:26" ht="12" customHeight="1">
      <c r="A165" s="1"/>
      <c r="B165" s="40" t="s">
        <v>35</v>
      </c>
      <c r="C165" s="44" t="s">
        <v>42</v>
      </c>
      <c r="D165" s="214"/>
      <c r="E165" s="236"/>
      <c r="F165" s="213">
        <v>134</v>
      </c>
      <c r="G165" s="252">
        <v>3</v>
      </c>
      <c r="H165" s="98">
        <v>3</v>
      </c>
      <c r="I165" s="98">
        <v>3</v>
      </c>
      <c r="J165" s="98">
        <v>3</v>
      </c>
      <c r="K165" s="107">
        <f t="shared" si="20"/>
        <v>0</v>
      </c>
      <c r="L165" s="365">
        <f>T165</f>
        <v>3</v>
      </c>
      <c r="M165" s="90">
        <f t="shared" si="15"/>
        <v>0</v>
      </c>
      <c r="N165" s="213"/>
      <c r="O165" s="90">
        <f>N165/(H165+1E-106)*100-100</f>
        <v>-100</v>
      </c>
      <c r="P165" s="91"/>
      <c r="Q165" s="106"/>
      <c r="R165" s="234">
        <f>H165</f>
        <v>3</v>
      </c>
      <c r="S165" s="239">
        <f t="shared" si="21"/>
        <v>0</v>
      </c>
      <c r="T165" s="234">
        <f>H165</f>
        <v>3</v>
      </c>
      <c r="U165" s="212">
        <f t="shared" si="22"/>
        <v>0</v>
      </c>
      <c r="V165" s="212">
        <f t="shared" si="23"/>
        <v>0</v>
      </c>
      <c r="W165" s="211">
        <f t="shared" si="18"/>
        <v>0</v>
      </c>
      <c r="X165" s="106">
        <f t="shared" si="19"/>
        <v>0</v>
      </c>
      <c r="Y165" s="163"/>
      <c r="Z165" s="12"/>
    </row>
    <row r="166" spans="1:26" s="250" customFormat="1" ht="12" customHeight="1">
      <c r="A166" s="51" t="s">
        <v>62</v>
      </c>
      <c r="B166" s="39" t="s">
        <v>194</v>
      </c>
      <c r="C166" s="52" t="s">
        <v>8</v>
      </c>
      <c r="D166" s="247"/>
      <c r="E166" s="249"/>
      <c r="F166" s="247">
        <v>1380.39</v>
      </c>
      <c r="G166" s="374">
        <v>172.37</v>
      </c>
      <c r="H166" s="247">
        <f>H163*0.342</f>
        <v>123.12</v>
      </c>
      <c r="I166" s="247">
        <f>I163*0.342</f>
        <v>172.37</v>
      </c>
      <c r="J166" s="247">
        <v>123.12</v>
      </c>
      <c r="K166" s="112">
        <f t="shared" si="20"/>
        <v>0</v>
      </c>
      <c r="L166" s="366">
        <f>T166</f>
        <v>169.67</v>
      </c>
      <c r="M166" s="88">
        <f t="shared" si="15"/>
        <v>37.8</v>
      </c>
      <c r="N166" s="247"/>
      <c r="O166" s="88">
        <f>N166/(H166+1E-106)*100-100</f>
        <v>-100</v>
      </c>
      <c r="P166" s="89">
        <f t="shared" si="17"/>
        <v>-169.67</v>
      </c>
      <c r="Q166" s="87"/>
      <c r="R166" s="247">
        <f>H166</f>
        <v>123.12</v>
      </c>
      <c r="S166" s="205">
        <f t="shared" si="21"/>
        <v>0</v>
      </c>
      <c r="T166" s="247">
        <f>T163*0.342</f>
        <v>169.67</v>
      </c>
      <c r="U166" s="206">
        <f t="shared" si="22"/>
        <v>37.8</v>
      </c>
      <c r="V166" s="206">
        <f t="shared" si="23"/>
        <v>37.8</v>
      </c>
      <c r="W166" s="207">
        <f t="shared" si="18"/>
        <v>0</v>
      </c>
      <c r="X166" s="87">
        <f t="shared" si="19"/>
        <v>1.3</v>
      </c>
      <c r="Y166" s="270"/>
      <c r="Z166" s="279"/>
    </row>
    <row r="167" spans="1:26" ht="12" customHeight="1">
      <c r="A167" s="1" t="s">
        <v>62</v>
      </c>
      <c r="B167" s="40" t="s">
        <v>68</v>
      </c>
      <c r="C167" s="31" t="s">
        <v>8</v>
      </c>
      <c r="D167" s="214"/>
      <c r="E167" s="236"/>
      <c r="F167" s="213">
        <v>0</v>
      </c>
      <c r="G167" s="252">
        <v>36</v>
      </c>
      <c r="H167" s="98">
        <f>I167</f>
        <v>36</v>
      </c>
      <c r="I167" s="105">
        <v>36</v>
      </c>
      <c r="J167" s="105">
        <f>H167*1.18</f>
        <v>42.48</v>
      </c>
      <c r="K167" s="107">
        <f t="shared" si="20"/>
        <v>18</v>
      </c>
      <c r="L167" s="365">
        <f>T167</f>
        <v>43.8</v>
      </c>
      <c r="M167" s="90">
        <f t="shared" si="15"/>
        <v>21.7</v>
      </c>
      <c r="N167" s="213"/>
      <c r="O167" s="90"/>
      <c r="P167" s="91"/>
      <c r="Q167" s="106"/>
      <c r="R167" s="234">
        <f>J167</f>
        <v>42.5</v>
      </c>
      <c r="S167" s="239">
        <f t="shared" si="21"/>
        <v>18.06</v>
      </c>
      <c r="T167" s="234">
        <f>R167*1.03</f>
        <v>43.8</v>
      </c>
      <c r="U167" s="212">
        <f>T167/(R167+1E-106)*100-100</f>
        <v>3.1</v>
      </c>
      <c r="V167" s="212">
        <f t="shared" si="23"/>
        <v>21.7</v>
      </c>
      <c r="W167" s="211">
        <f>T167-L167</f>
        <v>0</v>
      </c>
      <c r="X167" s="106">
        <f>T167/($T$198+1E-103)*100</f>
        <v>0.3</v>
      </c>
      <c r="Y167" s="163"/>
      <c r="Z167" s="12"/>
    </row>
    <row r="168" spans="1:26" s="250" customFormat="1" ht="12" customHeight="1">
      <c r="A168" s="51">
        <v>19</v>
      </c>
      <c r="B168" s="39" t="s">
        <v>119</v>
      </c>
      <c r="C168" s="52" t="s">
        <v>8</v>
      </c>
      <c r="D168" s="204">
        <f>D169+D172+D173</f>
        <v>0</v>
      </c>
      <c r="E168" s="248">
        <f>E169+E172+E173</f>
        <v>0</v>
      </c>
      <c r="F168" s="204">
        <v>49.59</v>
      </c>
      <c r="G168" s="255">
        <v>5.81</v>
      </c>
      <c r="H168" s="113">
        <f>H173</f>
        <v>5.81</v>
      </c>
      <c r="I168" s="113">
        <v>5.81</v>
      </c>
      <c r="J168" s="113">
        <f>J173</f>
        <v>6.86</v>
      </c>
      <c r="K168" s="112">
        <f t="shared" si="20"/>
        <v>18.07</v>
      </c>
      <c r="L168" s="371">
        <f>L169+L172+L173</f>
        <v>7.1</v>
      </c>
      <c r="M168" s="88">
        <f t="shared" si="15"/>
        <v>22.2</v>
      </c>
      <c r="N168" s="204">
        <f>N169+N172+N173</f>
        <v>0</v>
      </c>
      <c r="O168" s="88">
        <f aca="true" t="shared" si="24" ref="O168:O174">N168/(H168+1E-106)*100-100</f>
        <v>-100</v>
      </c>
      <c r="P168" s="89">
        <f t="shared" si="17"/>
        <v>-7.1</v>
      </c>
      <c r="Q168" s="87">
        <f>N168/($N$198+1E-103)*100</f>
        <v>0</v>
      </c>
      <c r="R168" s="282">
        <f>R173</f>
        <v>6.86</v>
      </c>
      <c r="S168" s="205">
        <f t="shared" si="21"/>
        <v>18.07</v>
      </c>
      <c r="T168" s="278">
        <f>T173</f>
        <v>7.1</v>
      </c>
      <c r="U168" s="206">
        <f t="shared" si="22"/>
        <v>3.5</v>
      </c>
      <c r="V168" s="206">
        <f t="shared" si="23"/>
        <v>22.2</v>
      </c>
      <c r="W168" s="207">
        <f t="shared" si="18"/>
        <v>0</v>
      </c>
      <c r="X168" s="87">
        <f t="shared" si="19"/>
        <v>0.1</v>
      </c>
      <c r="Y168" s="270"/>
      <c r="Z168" s="280"/>
    </row>
    <row r="169" spans="1:26" ht="12" customHeight="1" hidden="1">
      <c r="A169" s="1" t="s">
        <v>62</v>
      </c>
      <c r="B169" s="40" t="s">
        <v>118</v>
      </c>
      <c r="C169" s="31" t="s">
        <v>8</v>
      </c>
      <c r="D169" s="213"/>
      <c r="E169" s="236"/>
      <c r="F169" s="213"/>
      <c r="G169" s="252"/>
      <c r="H169" s="98"/>
      <c r="I169" s="98"/>
      <c r="J169" s="98"/>
      <c r="K169" s="107" t="e">
        <f t="shared" si="20"/>
        <v>#DIV/0!</v>
      </c>
      <c r="L169" s="369"/>
      <c r="M169" s="90">
        <f t="shared" si="15"/>
        <v>-100</v>
      </c>
      <c r="N169" s="213"/>
      <c r="O169" s="90">
        <f t="shared" si="24"/>
        <v>-100</v>
      </c>
      <c r="P169" s="91">
        <f t="shared" si="17"/>
        <v>0</v>
      </c>
      <c r="Q169" s="106"/>
      <c r="R169" s="277">
        <f>H169</f>
        <v>0</v>
      </c>
      <c r="S169" s="239">
        <f t="shared" si="21"/>
        <v>-100</v>
      </c>
      <c r="T169" s="265">
        <f>H169*1.51</f>
        <v>0</v>
      </c>
      <c r="U169" s="212">
        <f t="shared" si="22"/>
        <v>-100</v>
      </c>
      <c r="V169" s="212">
        <f t="shared" si="23"/>
        <v>-100</v>
      </c>
      <c r="W169" s="211">
        <f t="shared" si="18"/>
        <v>0</v>
      </c>
      <c r="X169" s="106">
        <f t="shared" si="19"/>
        <v>0</v>
      </c>
      <c r="Y169" s="163"/>
      <c r="Z169" s="5"/>
    </row>
    <row r="170" spans="1:26" ht="12" customHeight="1" hidden="1">
      <c r="A170" s="1"/>
      <c r="B170" s="40" t="s">
        <v>169</v>
      </c>
      <c r="C170" s="44" t="s">
        <v>14</v>
      </c>
      <c r="D170" s="213">
        <f>D169/12/(D171+1E-100)*1000</f>
        <v>0</v>
      </c>
      <c r="E170" s="252">
        <f>E169/12/(E171+1E-100)*1000</f>
        <v>0</v>
      </c>
      <c r="F170" s="213">
        <v>0</v>
      </c>
      <c r="G170" s="252"/>
      <c r="H170" s="98">
        <v>0</v>
      </c>
      <c r="I170" s="98"/>
      <c r="J170" s="98">
        <v>0</v>
      </c>
      <c r="K170" s="107" t="e">
        <f t="shared" si="20"/>
        <v>#DIV/0!</v>
      </c>
      <c r="L170" s="365"/>
      <c r="M170" s="90">
        <f t="shared" si="15"/>
        <v>-100</v>
      </c>
      <c r="N170" s="213"/>
      <c r="O170" s="90">
        <f t="shared" si="24"/>
        <v>-100</v>
      </c>
      <c r="P170" s="91"/>
      <c r="Q170" s="106"/>
      <c r="R170" s="234">
        <f>R169/12/(R171+1E-100)*1000</f>
        <v>0</v>
      </c>
      <c r="S170" s="239">
        <f t="shared" si="21"/>
        <v>-100</v>
      </c>
      <c r="T170" s="235">
        <f>T169/12/(T171+1E-100)*1000</f>
        <v>0</v>
      </c>
      <c r="U170" s="212">
        <f t="shared" si="22"/>
        <v>-100</v>
      </c>
      <c r="V170" s="212">
        <f t="shared" si="23"/>
        <v>-100</v>
      </c>
      <c r="W170" s="211">
        <f t="shared" si="18"/>
        <v>0</v>
      </c>
      <c r="X170" s="106"/>
      <c r="Y170" s="163"/>
      <c r="Z170" s="5"/>
    </row>
    <row r="171" spans="1:26" ht="12" customHeight="1" hidden="1">
      <c r="A171" s="1"/>
      <c r="B171" s="40" t="s">
        <v>35</v>
      </c>
      <c r="C171" s="44" t="s">
        <v>42</v>
      </c>
      <c r="D171" s="281"/>
      <c r="E171" s="236"/>
      <c r="F171" s="213"/>
      <c r="G171" s="252"/>
      <c r="H171" s="98"/>
      <c r="I171" s="98"/>
      <c r="J171" s="98"/>
      <c r="K171" s="107" t="e">
        <f t="shared" si="20"/>
        <v>#DIV/0!</v>
      </c>
      <c r="L171" s="365"/>
      <c r="M171" s="90">
        <f t="shared" si="15"/>
        <v>-100</v>
      </c>
      <c r="N171" s="213"/>
      <c r="O171" s="90">
        <f t="shared" si="24"/>
        <v>-100</v>
      </c>
      <c r="P171" s="91"/>
      <c r="Q171" s="106"/>
      <c r="R171" s="277">
        <f>H171</f>
        <v>0</v>
      </c>
      <c r="S171" s="239">
        <f t="shared" si="21"/>
        <v>-100</v>
      </c>
      <c r="T171" s="235">
        <f>H171</f>
        <v>0</v>
      </c>
      <c r="U171" s="212">
        <f t="shared" si="22"/>
        <v>-100</v>
      </c>
      <c r="V171" s="212">
        <f t="shared" si="23"/>
        <v>-100</v>
      </c>
      <c r="W171" s="211">
        <f t="shared" si="18"/>
        <v>0</v>
      </c>
      <c r="X171" s="106">
        <f t="shared" si="19"/>
        <v>0</v>
      </c>
      <c r="Y171" s="163"/>
      <c r="Z171" s="5"/>
    </row>
    <row r="172" spans="1:26" ht="12" customHeight="1" hidden="1">
      <c r="A172" s="1" t="s">
        <v>62</v>
      </c>
      <c r="B172" s="40" t="s">
        <v>194</v>
      </c>
      <c r="C172" s="31" t="s">
        <v>8</v>
      </c>
      <c r="D172" s="213"/>
      <c r="E172" s="236"/>
      <c r="F172" s="213"/>
      <c r="G172" s="252"/>
      <c r="H172" s="98"/>
      <c r="I172" s="98"/>
      <c r="J172" s="98"/>
      <c r="K172" s="107" t="e">
        <f t="shared" si="20"/>
        <v>#DIV/0!</v>
      </c>
      <c r="L172" s="252"/>
      <c r="M172" s="90">
        <f t="shared" si="15"/>
        <v>-100</v>
      </c>
      <c r="N172" s="213"/>
      <c r="O172" s="90">
        <f t="shared" si="24"/>
        <v>-100</v>
      </c>
      <c r="P172" s="91">
        <f t="shared" si="17"/>
        <v>0</v>
      </c>
      <c r="Q172" s="106"/>
      <c r="R172" s="247">
        <f>R169*0.342</f>
        <v>0</v>
      </c>
      <c r="S172" s="239">
        <f t="shared" si="21"/>
        <v>-100</v>
      </c>
      <c r="T172" s="247">
        <f>T169*0.342</f>
        <v>0</v>
      </c>
      <c r="U172" s="212">
        <f t="shared" si="22"/>
        <v>-100</v>
      </c>
      <c r="V172" s="212">
        <f t="shared" si="23"/>
        <v>-100</v>
      </c>
      <c r="W172" s="211">
        <f t="shared" si="18"/>
        <v>0</v>
      </c>
      <c r="X172" s="106">
        <f t="shared" si="19"/>
        <v>0</v>
      </c>
      <c r="Y172" s="163"/>
      <c r="Z172" s="5"/>
    </row>
    <row r="173" spans="1:26" ht="12" customHeight="1">
      <c r="A173" s="1" t="s">
        <v>62</v>
      </c>
      <c r="B173" s="40" t="s">
        <v>68</v>
      </c>
      <c r="C173" s="31" t="s">
        <v>8</v>
      </c>
      <c r="D173" s="213"/>
      <c r="E173" s="236"/>
      <c r="F173" s="213">
        <v>49.59</v>
      </c>
      <c r="G173" s="252">
        <v>5.81</v>
      </c>
      <c r="H173" s="98">
        <f>I173</f>
        <v>5.81</v>
      </c>
      <c r="I173" s="98">
        <v>5.81</v>
      </c>
      <c r="J173" s="105">
        <f>H173*1.18</f>
        <v>6.86</v>
      </c>
      <c r="K173" s="107">
        <f t="shared" si="20"/>
        <v>18.07</v>
      </c>
      <c r="L173" s="365">
        <f>T173</f>
        <v>7.1</v>
      </c>
      <c r="M173" s="90">
        <f t="shared" si="15"/>
        <v>22.2</v>
      </c>
      <c r="N173" s="213"/>
      <c r="O173" s="90">
        <f t="shared" si="24"/>
        <v>-100</v>
      </c>
      <c r="P173" s="91">
        <f t="shared" si="17"/>
        <v>-7.1</v>
      </c>
      <c r="Q173" s="106"/>
      <c r="R173" s="277">
        <f>J173</f>
        <v>6.86</v>
      </c>
      <c r="S173" s="239">
        <f t="shared" si="21"/>
        <v>18.07</v>
      </c>
      <c r="T173" s="234">
        <f>J173*1.03</f>
        <v>7.1</v>
      </c>
      <c r="U173" s="212">
        <f t="shared" si="22"/>
        <v>3.5</v>
      </c>
      <c r="V173" s="212">
        <f t="shared" si="23"/>
        <v>22.2</v>
      </c>
      <c r="W173" s="211">
        <f t="shared" si="18"/>
        <v>0</v>
      </c>
      <c r="X173" s="106">
        <f t="shared" si="19"/>
        <v>0.1</v>
      </c>
      <c r="Y173" s="163"/>
      <c r="Z173" s="5"/>
    </row>
    <row r="174" spans="1:26" s="250" customFormat="1" ht="12" customHeight="1">
      <c r="A174" s="51">
        <v>20</v>
      </c>
      <c r="B174" s="39" t="s">
        <v>66</v>
      </c>
      <c r="C174" s="52" t="s">
        <v>8</v>
      </c>
      <c r="D174" s="204">
        <f>D175+D176+D177+D178</f>
        <v>0</v>
      </c>
      <c r="E174" s="248">
        <f>E175+E176+E177+E178</f>
        <v>0</v>
      </c>
      <c r="F174" s="204">
        <v>663.75</v>
      </c>
      <c r="G174" s="255">
        <v>61.16</v>
      </c>
      <c r="H174" s="282">
        <f>H175+H176+H177+H178</f>
        <v>61.16</v>
      </c>
      <c r="I174" s="282">
        <f>I175+I176+I177+I178</f>
        <v>61.16</v>
      </c>
      <c r="J174" s="282">
        <f>J175+J176+J177+J178</f>
        <v>66.4</v>
      </c>
      <c r="K174" s="112">
        <f t="shared" si="20"/>
        <v>8.57</v>
      </c>
      <c r="L174" s="376">
        <f>L175+L176+L177+L178</f>
        <v>68.4</v>
      </c>
      <c r="M174" s="88">
        <f t="shared" si="15"/>
        <v>11.8</v>
      </c>
      <c r="N174" s="204">
        <f>N175+N176+N177+N178</f>
        <v>0</v>
      </c>
      <c r="O174" s="88">
        <f t="shared" si="24"/>
        <v>-100</v>
      </c>
      <c r="P174" s="89">
        <f t="shared" si="17"/>
        <v>-68.4</v>
      </c>
      <c r="Q174" s="87">
        <f>N174/($N$198+1E-103)*100</f>
        <v>0</v>
      </c>
      <c r="R174" s="282">
        <f>R175+R176+R177+R178</f>
        <v>66.36</v>
      </c>
      <c r="S174" s="205">
        <f t="shared" si="21"/>
        <v>8.5</v>
      </c>
      <c r="T174" s="278">
        <f>T175+T176+T177+T178</f>
        <v>68.4</v>
      </c>
      <c r="U174" s="206">
        <f t="shared" si="22"/>
        <v>3.1</v>
      </c>
      <c r="V174" s="206">
        <f t="shared" si="23"/>
        <v>11.8</v>
      </c>
      <c r="W174" s="207">
        <f t="shared" si="18"/>
        <v>0</v>
      </c>
      <c r="X174" s="87">
        <f t="shared" si="19"/>
        <v>0.5</v>
      </c>
      <c r="Y174" s="275"/>
      <c r="Z174" s="279"/>
    </row>
    <row r="175" spans="1:26" ht="12.75">
      <c r="A175" s="1" t="s">
        <v>62</v>
      </c>
      <c r="B175" s="40" t="s">
        <v>55</v>
      </c>
      <c r="C175" s="31" t="s">
        <v>8</v>
      </c>
      <c r="D175" s="213"/>
      <c r="E175" s="236"/>
      <c r="F175" s="213">
        <v>49.23</v>
      </c>
      <c r="G175" s="252">
        <v>4.5</v>
      </c>
      <c r="H175" s="98">
        <v>4.5</v>
      </c>
      <c r="I175" s="98">
        <v>4.5</v>
      </c>
      <c r="J175" s="98">
        <v>4.5</v>
      </c>
      <c r="K175" s="107">
        <f t="shared" si="20"/>
        <v>0</v>
      </c>
      <c r="L175" s="365">
        <f>T175</f>
        <v>4.6</v>
      </c>
      <c r="M175" s="90">
        <f t="shared" si="15"/>
        <v>2.2</v>
      </c>
      <c r="N175" s="213"/>
      <c r="O175" s="90"/>
      <c r="P175" s="91"/>
      <c r="Q175" s="106"/>
      <c r="R175" s="277">
        <f>H175</f>
        <v>4.5</v>
      </c>
      <c r="S175" s="239">
        <f t="shared" si="21"/>
        <v>0</v>
      </c>
      <c r="T175" s="234">
        <f>H175*1.03</f>
        <v>4.6</v>
      </c>
      <c r="U175" s="212">
        <f>T175/(R175+1E-106)*100-100</f>
        <v>2.2</v>
      </c>
      <c r="V175" s="212">
        <f t="shared" si="23"/>
        <v>2.2</v>
      </c>
      <c r="W175" s="211">
        <f>T175-L175</f>
        <v>0</v>
      </c>
      <c r="X175" s="106">
        <f>T175/($T$198+1E-103)*100</f>
        <v>0</v>
      </c>
      <c r="Y175" s="160"/>
      <c r="Z175" s="12"/>
    </row>
    <row r="176" spans="1:26" ht="12.75">
      <c r="A176" s="1" t="s">
        <v>62</v>
      </c>
      <c r="B176" s="40" t="s">
        <v>56</v>
      </c>
      <c r="C176" s="31" t="s">
        <v>8</v>
      </c>
      <c r="D176" s="213"/>
      <c r="E176" s="236"/>
      <c r="F176" s="213">
        <v>92.74</v>
      </c>
      <c r="G176" s="252">
        <v>9.49</v>
      </c>
      <c r="H176" s="98">
        <f>I176</f>
        <v>9.49</v>
      </c>
      <c r="I176" s="98">
        <v>9.49</v>
      </c>
      <c r="J176" s="98">
        <v>9.49</v>
      </c>
      <c r="K176" s="107">
        <f t="shared" si="20"/>
        <v>0</v>
      </c>
      <c r="L176" s="365">
        <f>T176</f>
        <v>9.8</v>
      </c>
      <c r="M176" s="90">
        <f t="shared" si="15"/>
        <v>3.3</v>
      </c>
      <c r="N176" s="213"/>
      <c r="O176" s="90"/>
      <c r="P176" s="91"/>
      <c r="Q176" s="106"/>
      <c r="R176" s="277">
        <f>H176</f>
        <v>9.49</v>
      </c>
      <c r="S176" s="239">
        <f t="shared" si="21"/>
        <v>0</v>
      </c>
      <c r="T176" s="234">
        <f>H176*1.03</f>
        <v>9.8</v>
      </c>
      <c r="U176" s="212">
        <f>T176/(R176+1E-106)*100-100</f>
        <v>3.3</v>
      </c>
      <c r="V176" s="212">
        <f t="shared" si="23"/>
        <v>3.3</v>
      </c>
      <c r="W176" s="211">
        <f>T176-L176</f>
        <v>0</v>
      </c>
      <c r="X176" s="106">
        <f>T176/($T$198+1E-103)*100</f>
        <v>0.1</v>
      </c>
      <c r="Y176" s="161"/>
      <c r="Z176" s="12"/>
    </row>
    <row r="177" spans="1:26" ht="12.75">
      <c r="A177" s="1" t="s">
        <v>62</v>
      </c>
      <c r="B177" s="40" t="s">
        <v>67</v>
      </c>
      <c r="C177" s="31" t="s">
        <v>8</v>
      </c>
      <c r="D177" s="213"/>
      <c r="E177" s="236"/>
      <c r="F177" s="213">
        <v>481.62</v>
      </c>
      <c r="G177" s="252">
        <v>18.07</v>
      </c>
      <c r="H177" s="98">
        <f>I177</f>
        <v>18.07</v>
      </c>
      <c r="I177" s="98">
        <v>18.07</v>
      </c>
      <c r="J177" s="98">
        <v>18.07</v>
      </c>
      <c r="K177" s="107">
        <f t="shared" si="20"/>
        <v>0</v>
      </c>
      <c r="L177" s="365">
        <f>T177</f>
        <v>18.6</v>
      </c>
      <c r="M177" s="90">
        <f>L177/(H177+1E-133)*100-100</f>
        <v>2.9</v>
      </c>
      <c r="N177" s="213"/>
      <c r="O177" s="90">
        <f>N177/(H177+1E-106)*100-100</f>
        <v>-100</v>
      </c>
      <c r="P177" s="91">
        <f t="shared" si="17"/>
        <v>-18.6</v>
      </c>
      <c r="Q177" s="106"/>
      <c r="R177" s="277">
        <f>H177</f>
        <v>18.07</v>
      </c>
      <c r="S177" s="239">
        <f t="shared" si="21"/>
        <v>0</v>
      </c>
      <c r="T177" s="234">
        <f>H177*1.03</f>
        <v>18.6</v>
      </c>
      <c r="U177" s="212">
        <f t="shared" si="22"/>
        <v>2.9</v>
      </c>
      <c r="V177" s="212">
        <f t="shared" si="23"/>
        <v>2.9</v>
      </c>
      <c r="W177" s="211">
        <f t="shared" si="18"/>
        <v>0</v>
      </c>
      <c r="X177" s="106">
        <f t="shared" si="19"/>
        <v>0.1</v>
      </c>
      <c r="Y177" s="161"/>
      <c r="Z177" s="12"/>
    </row>
    <row r="178" spans="1:26" ht="12.75">
      <c r="A178" s="1" t="s">
        <v>62</v>
      </c>
      <c r="B178" s="40" t="s">
        <v>68</v>
      </c>
      <c r="C178" s="31" t="s">
        <v>8</v>
      </c>
      <c r="D178" s="213"/>
      <c r="E178" s="236"/>
      <c r="F178" s="213">
        <v>40.17</v>
      </c>
      <c r="G178" s="252">
        <v>29.1</v>
      </c>
      <c r="H178" s="98">
        <f>I178</f>
        <v>29.1</v>
      </c>
      <c r="I178" s="98">
        <v>29.1</v>
      </c>
      <c r="J178" s="105">
        <f>H178*1.18</f>
        <v>34.34</v>
      </c>
      <c r="K178" s="107">
        <f t="shared" si="20"/>
        <v>18.01</v>
      </c>
      <c r="L178" s="365">
        <f>T178</f>
        <v>35.4</v>
      </c>
      <c r="M178" s="90">
        <f>L178/(H178+1E-133)*100-100</f>
        <v>21.6</v>
      </c>
      <c r="N178" s="213"/>
      <c r="O178" s="90">
        <f>N178/(H178+1E-106)*100-100</f>
        <v>-100</v>
      </c>
      <c r="P178" s="91">
        <f t="shared" si="17"/>
        <v>-35.4</v>
      </c>
      <c r="Q178" s="106"/>
      <c r="R178" s="234">
        <f>J178</f>
        <v>34.3</v>
      </c>
      <c r="S178" s="239">
        <f t="shared" si="21"/>
        <v>17.87</v>
      </c>
      <c r="T178" s="234">
        <f>J178*1.03</f>
        <v>35.4</v>
      </c>
      <c r="U178" s="212">
        <f t="shared" si="22"/>
        <v>3.2</v>
      </c>
      <c r="V178" s="212">
        <f t="shared" si="23"/>
        <v>21.6</v>
      </c>
      <c r="W178" s="211">
        <f t="shared" si="18"/>
        <v>0</v>
      </c>
      <c r="X178" s="106">
        <f t="shared" si="19"/>
        <v>0.3</v>
      </c>
      <c r="Y178" s="161"/>
      <c r="Z178" s="12"/>
    </row>
    <row r="179" spans="1:26" s="250" customFormat="1" ht="12.75">
      <c r="A179" s="51">
        <v>21</v>
      </c>
      <c r="B179" s="39" t="s">
        <v>52</v>
      </c>
      <c r="C179" s="52" t="s">
        <v>8</v>
      </c>
      <c r="D179" s="202">
        <f>D180+D181+D182</f>
        <v>0</v>
      </c>
      <c r="E179" s="248">
        <f>E180+E181+E182</f>
        <v>0</v>
      </c>
      <c r="F179" s="204">
        <v>934.87</v>
      </c>
      <c r="G179" s="255">
        <v>284.76</v>
      </c>
      <c r="H179" s="113">
        <f>H180+H181+H182</f>
        <v>199.56</v>
      </c>
      <c r="I179" s="113">
        <f>I180+I181+I182</f>
        <v>284.76</v>
      </c>
      <c r="J179" s="113">
        <v>199.56</v>
      </c>
      <c r="K179" s="112">
        <f t="shared" si="20"/>
        <v>0</v>
      </c>
      <c r="L179" s="371">
        <f>L180+L181+L182</f>
        <v>284.8</v>
      </c>
      <c r="M179" s="88">
        <f>L179/(H179+1E-133)*100-100</f>
        <v>42.7</v>
      </c>
      <c r="N179" s="204">
        <f>N180+N181+N182</f>
        <v>0</v>
      </c>
      <c r="O179" s="88">
        <f>N179/(H179+1E-106)*100-100</f>
        <v>-100</v>
      </c>
      <c r="P179" s="89">
        <f t="shared" si="17"/>
        <v>-284.8</v>
      </c>
      <c r="Q179" s="87">
        <f>N179/($N$198+1E-103)*100</f>
        <v>0</v>
      </c>
      <c r="R179" s="278">
        <f>R180+R181+R182</f>
        <v>199.6</v>
      </c>
      <c r="S179" s="205">
        <f t="shared" si="21"/>
        <v>0.02</v>
      </c>
      <c r="T179" s="278">
        <f>T180+T181+T182</f>
        <v>199.6</v>
      </c>
      <c r="U179" s="206">
        <f t="shared" si="22"/>
        <v>0</v>
      </c>
      <c r="V179" s="206">
        <f t="shared" si="23"/>
        <v>0</v>
      </c>
      <c r="W179" s="207">
        <f t="shared" si="18"/>
        <v>-85.2</v>
      </c>
      <c r="X179" s="87">
        <f t="shared" si="19"/>
        <v>1.5</v>
      </c>
      <c r="Y179" s="275"/>
      <c r="Z179" s="279"/>
    </row>
    <row r="180" spans="1:26" ht="12.75">
      <c r="A180" s="1" t="s">
        <v>62</v>
      </c>
      <c r="B180" s="40" t="s">
        <v>53</v>
      </c>
      <c r="C180" s="31" t="s">
        <v>8</v>
      </c>
      <c r="D180" s="214"/>
      <c r="E180" s="236"/>
      <c r="F180" s="213">
        <v>477.87</v>
      </c>
      <c r="G180" s="252">
        <v>16.96</v>
      </c>
      <c r="H180" s="98">
        <v>16.96</v>
      </c>
      <c r="I180" s="98">
        <v>16.96</v>
      </c>
      <c r="J180" s="98">
        <v>16.96</v>
      </c>
      <c r="K180" s="107">
        <f t="shared" si="20"/>
        <v>0</v>
      </c>
      <c r="L180" s="365">
        <v>17</v>
      </c>
      <c r="M180" s="90">
        <f>L180/(H180+1E-133)*100-100</f>
        <v>0.2</v>
      </c>
      <c r="N180" s="213"/>
      <c r="O180" s="90"/>
      <c r="P180" s="91"/>
      <c r="Q180" s="106"/>
      <c r="R180" s="277">
        <f>H180</f>
        <v>16.96</v>
      </c>
      <c r="S180" s="239">
        <f t="shared" si="21"/>
        <v>0</v>
      </c>
      <c r="T180" s="234">
        <f>H180</f>
        <v>17</v>
      </c>
      <c r="U180" s="212">
        <f>T180/(R180+1E-106)*100-100</f>
        <v>0.2</v>
      </c>
      <c r="V180" s="212">
        <f t="shared" si="23"/>
        <v>0.2</v>
      </c>
      <c r="W180" s="211">
        <f>T180-L180</f>
        <v>0</v>
      </c>
      <c r="X180" s="106">
        <f>T180/($T$198+1E-103)*100</f>
        <v>0.1</v>
      </c>
      <c r="Y180" s="160"/>
      <c r="Z180" s="12"/>
    </row>
    <row r="181" spans="1:26" ht="21">
      <c r="A181" s="1" t="s">
        <v>62</v>
      </c>
      <c r="B181" s="40" t="s">
        <v>54</v>
      </c>
      <c r="C181" s="31" t="s">
        <v>8</v>
      </c>
      <c r="D181" s="214"/>
      <c r="E181" s="236"/>
      <c r="F181" s="213">
        <v>141.7</v>
      </c>
      <c r="G181" s="252">
        <v>106.5</v>
      </c>
      <c r="H181" s="98">
        <f>106.5/5</f>
        <v>21.3</v>
      </c>
      <c r="I181" s="98">
        <v>106.5</v>
      </c>
      <c r="J181" s="98">
        <v>21.3</v>
      </c>
      <c r="K181" s="107">
        <f t="shared" si="20"/>
        <v>0</v>
      </c>
      <c r="L181" s="365">
        <v>106.5</v>
      </c>
      <c r="M181" s="90">
        <f aca="true" t="shared" si="25" ref="M181:M187">L181/(H181+1E-133)*100-100</f>
        <v>400</v>
      </c>
      <c r="N181" s="213"/>
      <c r="O181" s="90">
        <f aca="true" t="shared" si="26" ref="O181:O187">N181/(H181+1E-106)*100-100</f>
        <v>-100</v>
      </c>
      <c r="P181" s="91">
        <f t="shared" si="17"/>
        <v>-106.5</v>
      </c>
      <c r="Q181" s="106"/>
      <c r="R181" s="234">
        <f>H181</f>
        <v>21.3</v>
      </c>
      <c r="S181" s="239">
        <f t="shared" si="21"/>
        <v>0</v>
      </c>
      <c r="T181" s="234">
        <f>H181</f>
        <v>21.3</v>
      </c>
      <c r="U181" s="212">
        <f t="shared" si="22"/>
        <v>0</v>
      </c>
      <c r="V181" s="212">
        <f t="shared" si="23"/>
        <v>0</v>
      </c>
      <c r="W181" s="211">
        <f t="shared" si="18"/>
        <v>-85.2</v>
      </c>
      <c r="X181" s="106">
        <f t="shared" si="19"/>
        <v>0.2</v>
      </c>
      <c r="Y181" s="382" t="s">
        <v>236</v>
      </c>
      <c r="Z181" s="12"/>
    </row>
    <row r="182" spans="1:26" ht="12.75">
      <c r="A182" s="1" t="s">
        <v>62</v>
      </c>
      <c r="B182" s="40" t="s">
        <v>69</v>
      </c>
      <c r="C182" s="31" t="s">
        <v>8</v>
      </c>
      <c r="D182" s="214"/>
      <c r="E182" s="236"/>
      <c r="F182" s="213">
        <v>315.3</v>
      </c>
      <c r="G182" s="252">
        <v>161.3</v>
      </c>
      <c r="H182" s="98">
        <v>161.3</v>
      </c>
      <c r="I182" s="98">
        <v>161.3</v>
      </c>
      <c r="J182" s="98">
        <v>161.3</v>
      </c>
      <c r="K182" s="107">
        <f t="shared" si="20"/>
        <v>0</v>
      </c>
      <c r="L182" s="365">
        <v>161.3</v>
      </c>
      <c r="M182" s="90">
        <f t="shared" si="25"/>
        <v>0</v>
      </c>
      <c r="N182" s="213"/>
      <c r="O182" s="90">
        <f t="shared" si="26"/>
        <v>-100</v>
      </c>
      <c r="P182" s="91">
        <f t="shared" si="17"/>
        <v>-161.3</v>
      </c>
      <c r="Q182" s="106"/>
      <c r="R182" s="234">
        <f>H182</f>
        <v>161.3</v>
      </c>
      <c r="S182" s="239">
        <f t="shared" si="21"/>
        <v>0</v>
      </c>
      <c r="T182" s="234">
        <f>H182</f>
        <v>161.3</v>
      </c>
      <c r="U182" s="212">
        <f t="shared" si="22"/>
        <v>0</v>
      </c>
      <c r="V182" s="212">
        <f t="shared" si="23"/>
        <v>0</v>
      </c>
      <c r="W182" s="211">
        <f t="shared" si="18"/>
        <v>0</v>
      </c>
      <c r="X182" s="106">
        <f t="shared" si="19"/>
        <v>1.2</v>
      </c>
      <c r="Y182" s="160"/>
      <c r="Z182" s="12"/>
    </row>
    <row r="183" spans="1:26" ht="23.25" customHeight="1">
      <c r="A183" s="51">
        <v>22</v>
      </c>
      <c r="B183" s="40" t="s">
        <v>51</v>
      </c>
      <c r="C183" s="31" t="s">
        <v>8</v>
      </c>
      <c r="D183" s="214"/>
      <c r="E183" s="236"/>
      <c r="F183" s="213"/>
      <c r="G183" s="252"/>
      <c r="H183" s="98"/>
      <c r="I183" s="98"/>
      <c r="J183" s="98"/>
      <c r="K183" s="107"/>
      <c r="L183" s="365"/>
      <c r="M183" s="90"/>
      <c r="N183" s="213"/>
      <c r="O183" s="90"/>
      <c r="P183" s="91"/>
      <c r="Q183" s="106"/>
      <c r="R183" s="235"/>
      <c r="S183" s="239"/>
      <c r="T183" s="234"/>
      <c r="U183" s="212"/>
      <c r="V183" s="212"/>
      <c r="W183" s="211"/>
      <c r="X183" s="106"/>
      <c r="Y183" s="160"/>
      <c r="Z183" s="12"/>
    </row>
    <row r="184" spans="1:26" ht="25.5" customHeight="1">
      <c r="A184" s="51">
        <v>23</v>
      </c>
      <c r="B184" s="39" t="s">
        <v>110</v>
      </c>
      <c r="C184" s="52" t="s">
        <v>8</v>
      </c>
      <c r="D184" s="202">
        <f aca="true" t="shared" si="27" ref="D184:L184">D132+D140+D151+D152+D153+D156+D157+D158+D162+D168+D174+D179+D183</f>
        <v>0</v>
      </c>
      <c r="E184" s="248">
        <f t="shared" si="27"/>
        <v>0</v>
      </c>
      <c r="F184" s="265">
        <f t="shared" si="27"/>
        <v>148860.8</v>
      </c>
      <c r="G184" s="371">
        <v>12217</v>
      </c>
      <c r="H184" s="265">
        <f>H132+H140+H151+H152+H153+H156+H157+H158+H162+H168+H174+H179+H183</f>
        <v>9747.8</v>
      </c>
      <c r="I184" s="265">
        <f>I132+I140+I151+I152+I153+I156+I157+I158+I162+I168+I174+I179+I183</f>
        <v>12217</v>
      </c>
      <c r="J184" s="265">
        <f>J132+J140+J151+J152+J153+J156+J157+J158+J162+J168+J174+J179+J183</f>
        <v>11553.4</v>
      </c>
      <c r="K184" s="112">
        <f t="shared" si="20"/>
        <v>18.52</v>
      </c>
      <c r="L184" s="371">
        <f t="shared" si="27"/>
        <v>15628.1</v>
      </c>
      <c r="M184" s="88">
        <f t="shared" si="25"/>
        <v>60.3</v>
      </c>
      <c r="N184" s="204">
        <f>N132+N140+N151+N152+N153+N156+N157+N158+N162+N168+N174+N179+N183</f>
        <v>0</v>
      </c>
      <c r="O184" s="88">
        <f t="shared" si="26"/>
        <v>-100</v>
      </c>
      <c r="P184" s="89">
        <f>N184-L184</f>
        <v>-15628.1</v>
      </c>
      <c r="Q184" s="87"/>
      <c r="R184" s="265">
        <f>R132+R140+R151+R152+R153+R156+R157+R158+R162+R168+R174+R179+R183</f>
        <v>12263.2</v>
      </c>
      <c r="S184" s="205">
        <f t="shared" si="21"/>
        <v>25.8</v>
      </c>
      <c r="T184" s="265">
        <f>T132+T140+T151+T152+T153+T156+T157+T158+T162+T168+T174+T179+T183</f>
        <v>12957.6</v>
      </c>
      <c r="U184" s="206">
        <f t="shared" si="22"/>
        <v>5.7</v>
      </c>
      <c r="V184" s="206">
        <f t="shared" si="23"/>
        <v>32.9</v>
      </c>
      <c r="W184" s="207">
        <f t="shared" si="18"/>
        <v>-2670.5</v>
      </c>
      <c r="X184" s="87">
        <f t="shared" si="19"/>
        <v>97.8</v>
      </c>
      <c r="Y184" s="266"/>
      <c r="Z184" s="13"/>
    </row>
    <row r="185" spans="1:26" ht="18.75" customHeight="1">
      <c r="A185" s="54">
        <v>24</v>
      </c>
      <c r="B185" s="50" t="s">
        <v>17</v>
      </c>
      <c r="C185" s="55" t="s">
        <v>18</v>
      </c>
      <c r="D185" s="283">
        <f aca="true" t="shared" si="28" ref="D185:L185">D184/(D24+1E-100)*1000</f>
        <v>0</v>
      </c>
      <c r="E185" s="283">
        <f t="shared" si="28"/>
        <v>0</v>
      </c>
      <c r="F185" s="284">
        <f t="shared" si="28"/>
        <v>876.69</v>
      </c>
      <c r="G185" s="284">
        <v>1094.1</v>
      </c>
      <c r="H185" s="284">
        <f>H184/(H24+1E-100)*1000</f>
        <v>872.97</v>
      </c>
      <c r="I185" s="284">
        <f>I184/(I24+1E-100)*1000</f>
        <v>1094.1</v>
      </c>
      <c r="J185" s="284">
        <f>J184/(J24+1E-100)*1000</f>
        <v>1034.67</v>
      </c>
      <c r="K185" s="115">
        <f t="shared" si="20"/>
        <v>18.52</v>
      </c>
      <c r="L185" s="284">
        <f t="shared" si="28"/>
        <v>1399.58</v>
      </c>
      <c r="M185" s="116">
        <f t="shared" si="25"/>
        <v>60.3</v>
      </c>
      <c r="N185" s="285" t="e">
        <f>N184/(N24+1E-100)*1000</f>
        <v>#REF!</v>
      </c>
      <c r="O185" s="116" t="e">
        <f t="shared" si="26"/>
        <v>#REF!</v>
      </c>
      <c r="P185" s="117" t="e">
        <f>N185-L185</f>
        <v>#REF!</v>
      </c>
      <c r="Q185" s="118"/>
      <c r="R185" s="284">
        <f>R184/(R24+1E-100)*1000</f>
        <v>1098.23</v>
      </c>
      <c r="S185" s="444">
        <f t="shared" si="21"/>
        <v>25.8</v>
      </c>
      <c r="T185" s="284">
        <f>T184/(T24+1E-100)*1000</f>
        <v>1160.42</v>
      </c>
      <c r="U185" s="287">
        <f t="shared" si="22"/>
        <v>5.7</v>
      </c>
      <c r="V185" s="287">
        <f t="shared" si="23"/>
        <v>32.9</v>
      </c>
      <c r="W185" s="288">
        <f t="shared" si="18"/>
        <v>-239.2</v>
      </c>
      <c r="X185" s="118">
        <f t="shared" si="19"/>
        <v>8.8</v>
      </c>
      <c r="Y185" s="289"/>
      <c r="Z185" s="12"/>
    </row>
    <row r="186" spans="1:26" ht="12.75" customHeight="1">
      <c r="A186" s="1"/>
      <c r="B186" s="40" t="s">
        <v>19</v>
      </c>
      <c r="C186" s="44" t="s">
        <v>5</v>
      </c>
      <c r="D186" s="290">
        <f>D187/(D184+1E-95)*100</f>
        <v>0</v>
      </c>
      <c r="E186" s="291">
        <f>E187/(E184+1E-95)*100</f>
        <v>0</v>
      </c>
      <c r="F186" s="293">
        <f>F187/(F184+1E-95)*100</f>
        <v>1.85</v>
      </c>
      <c r="G186" s="378">
        <v>1.76</v>
      </c>
      <c r="H186" s="293">
        <f>H187/(H184+1E-95)*100</f>
        <v>2.21</v>
      </c>
      <c r="I186" s="293">
        <v>1.76</v>
      </c>
      <c r="J186" s="293">
        <v>2.21</v>
      </c>
      <c r="K186" s="107">
        <f t="shared" si="20"/>
        <v>0</v>
      </c>
      <c r="L186" s="377">
        <v>1.82</v>
      </c>
      <c r="M186" s="90">
        <f t="shared" si="25"/>
        <v>-17.6</v>
      </c>
      <c r="N186" s="292">
        <f>N187/(N184+1E-95)*100</f>
        <v>0</v>
      </c>
      <c r="O186" s="90">
        <f t="shared" si="26"/>
        <v>-100</v>
      </c>
      <c r="P186" s="91"/>
      <c r="Q186" s="106"/>
      <c r="R186" s="293">
        <f>R187/(R184+1E-95)*100</f>
        <v>1.76</v>
      </c>
      <c r="S186" s="239">
        <f t="shared" si="21"/>
        <v>-20.36</v>
      </c>
      <c r="T186" s="293">
        <f>T187/(T184+1E-95)*100</f>
        <v>1.66</v>
      </c>
      <c r="U186" s="212">
        <f t="shared" si="22"/>
        <v>-5.7</v>
      </c>
      <c r="V186" s="212">
        <f t="shared" si="23"/>
        <v>-24.9</v>
      </c>
      <c r="W186" s="211">
        <f t="shared" si="18"/>
        <v>-0.2</v>
      </c>
      <c r="X186" s="106">
        <f t="shared" si="19"/>
        <v>0</v>
      </c>
      <c r="Y186" s="160"/>
      <c r="Z186" s="12"/>
    </row>
    <row r="187" spans="1:26" ht="12.75" customHeight="1">
      <c r="A187" s="51">
        <v>25</v>
      </c>
      <c r="B187" s="40" t="s">
        <v>57</v>
      </c>
      <c r="C187" s="44" t="s">
        <v>63</v>
      </c>
      <c r="D187" s="292">
        <f>D188+D189+D190+D191+D193</f>
        <v>0</v>
      </c>
      <c r="E187" s="294">
        <f>IF((E184+E196+E197+E188)&gt;(C207*D207+C212*D212+C215*D215+C216*D216+C217*D217)/1000+E202,0,(C207*D207+C212*D212+C215*D215+C216*D216+C217*D217)/1000+E202-E184-E196-E197)</f>
        <v>0</v>
      </c>
      <c r="F187" s="361">
        <v>2759.89</v>
      </c>
      <c r="G187" s="294">
        <v>215.6</v>
      </c>
      <c r="H187" s="293">
        <f>H188+H189+H190+H191+H193</f>
        <v>215.6</v>
      </c>
      <c r="I187" s="293">
        <f>I188+I189+I190+I191+I193</f>
        <v>215.6</v>
      </c>
      <c r="J187" s="293">
        <v>215.6</v>
      </c>
      <c r="K187" s="107">
        <f t="shared" si="20"/>
        <v>0</v>
      </c>
      <c r="L187" s="378">
        <f>L188+L189+L190+L191+L193</f>
        <v>215.6</v>
      </c>
      <c r="M187" s="90">
        <f t="shared" si="25"/>
        <v>0</v>
      </c>
      <c r="N187" s="292">
        <f>N188+N189+N190+N191+N193</f>
        <v>0</v>
      </c>
      <c r="O187" s="90">
        <f t="shared" si="26"/>
        <v>-100</v>
      </c>
      <c r="P187" s="91">
        <f>N187-L187</f>
        <v>-215.6</v>
      </c>
      <c r="Q187" s="106">
        <f>N187/($N$198+1E-103)*100</f>
        <v>0</v>
      </c>
      <c r="R187" s="293">
        <f>R188+R189+R190+R191+R193</f>
        <v>215.6</v>
      </c>
      <c r="S187" s="239">
        <f t="shared" si="21"/>
        <v>0</v>
      </c>
      <c r="T187" s="293">
        <f>T188+T189+T190+T191+T193</f>
        <v>215.6</v>
      </c>
      <c r="U187" s="212">
        <f t="shared" si="22"/>
        <v>0</v>
      </c>
      <c r="V187" s="212">
        <f t="shared" si="23"/>
        <v>0</v>
      </c>
      <c r="W187" s="211">
        <f t="shared" si="18"/>
        <v>0</v>
      </c>
      <c r="X187" s="106">
        <f t="shared" si="19"/>
        <v>1.6</v>
      </c>
      <c r="Y187" s="160"/>
      <c r="Z187" s="12"/>
    </row>
    <row r="188" spans="1:26" ht="38.25" customHeight="1" hidden="1">
      <c r="A188" s="14" t="s">
        <v>62</v>
      </c>
      <c r="B188" s="477" t="s">
        <v>137</v>
      </c>
      <c r="C188" s="477"/>
      <c r="D188" s="295"/>
      <c r="E188" s="272"/>
      <c r="F188" s="295"/>
      <c r="G188" s="389"/>
      <c r="H188" s="98"/>
      <c r="I188" s="98"/>
      <c r="J188" s="98"/>
      <c r="K188" s="107"/>
      <c r="L188" s="365"/>
      <c r="M188" s="90"/>
      <c r="N188" s="213"/>
      <c r="O188" s="90"/>
      <c r="P188" s="91"/>
      <c r="Q188" s="106"/>
      <c r="R188" s="293"/>
      <c r="S188" s="239"/>
      <c r="T188" s="293"/>
      <c r="U188" s="212"/>
      <c r="V188" s="212"/>
      <c r="W188" s="211"/>
      <c r="X188" s="106"/>
      <c r="Y188" s="160"/>
      <c r="Z188" s="12"/>
    </row>
    <row r="189" spans="1:26" ht="12.75">
      <c r="A189" s="14" t="s">
        <v>62</v>
      </c>
      <c r="B189" s="460" t="s">
        <v>58</v>
      </c>
      <c r="C189" s="460"/>
      <c r="D189" s="296"/>
      <c r="E189" s="272"/>
      <c r="F189" s="295"/>
      <c r="G189" s="389"/>
      <c r="H189" s="98"/>
      <c r="I189" s="98"/>
      <c r="J189" s="98"/>
      <c r="K189" s="107"/>
      <c r="L189" s="365"/>
      <c r="M189" s="90"/>
      <c r="N189" s="213"/>
      <c r="O189" s="90"/>
      <c r="P189" s="91"/>
      <c r="Q189" s="106"/>
      <c r="R189" s="293"/>
      <c r="S189" s="239"/>
      <c r="T189" s="293"/>
      <c r="U189" s="212"/>
      <c r="V189" s="212"/>
      <c r="W189" s="211"/>
      <c r="X189" s="106"/>
      <c r="Y189" s="160"/>
      <c r="Z189" s="12"/>
    </row>
    <row r="190" spans="1:26" ht="12.75">
      <c r="A190" s="14" t="s">
        <v>62</v>
      </c>
      <c r="B190" s="460" t="s">
        <v>59</v>
      </c>
      <c r="C190" s="460"/>
      <c r="D190" s="296"/>
      <c r="E190" s="272"/>
      <c r="F190" s="295"/>
      <c r="G190" s="389"/>
      <c r="H190" s="98"/>
      <c r="I190" s="98"/>
      <c r="J190" s="98"/>
      <c r="K190" s="107"/>
      <c r="L190" s="365"/>
      <c r="M190" s="90"/>
      <c r="N190" s="213"/>
      <c r="O190" s="90"/>
      <c r="P190" s="91"/>
      <c r="Q190" s="106"/>
      <c r="R190" s="293"/>
      <c r="S190" s="239"/>
      <c r="T190" s="293"/>
      <c r="U190" s="212"/>
      <c r="V190" s="212"/>
      <c r="W190" s="211"/>
      <c r="X190" s="106"/>
      <c r="Y190" s="160"/>
      <c r="Z190" s="12"/>
    </row>
    <row r="191" spans="1:26" ht="12.75">
      <c r="A191" s="14" t="s">
        <v>62</v>
      </c>
      <c r="B191" s="460" t="s">
        <v>139</v>
      </c>
      <c r="C191" s="460"/>
      <c r="D191" s="296"/>
      <c r="E191" s="291">
        <f>IF(E187=0,0,E187-E188-E189-E190-E193)</f>
        <v>0</v>
      </c>
      <c r="F191" s="292">
        <v>2759.89</v>
      </c>
      <c r="G191" s="391">
        <v>215.6</v>
      </c>
      <c r="H191" s="98">
        <f>I191</f>
        <v>215.6</v>
      </c>
      <c r="I191" s="98">
        <v>215.6</v>
      </c>
      <c r="J191" s="98">
        <v>215.6</v>
      </c>
      <c r="K191" s="107">
        <f t="shared" si="20"/>
        <v>0</v>
      </c>
      <c r="L191" s="365">
        <f>H191</f>
        <v>215.6</v>
      </c>
      <c r="M191" s="90">
        <f>L191/(H191+1E-133)*100-100</f>
        <v>0</v>
      </c>
      <c r="N191" s="213"/>
      <c r="O191" s="90"/>
      <c r="P191" s="91"/>
      <c r="Q191" s="106"/>
      <c r="R191" s="293">
        <f>H191</f>
        <v>215.6</v>
      </c>
      <c r="S191" s="239">
        <f t="shared" si="21"/>
        <v>0</v>
      </c>
      <c r="T191" s="293">
        <f>H191</f>
        <v>215.6</v>
      </c>
      <c r="U191" s="212">
        <f>T191/(R191+1E-106)*100-100</f>
        <v>0</v>
      </c>
      <c r="V191" s="212">
        <f t="shared" si="23"/>
        <v>0</v>
      </c>
      <c r="W191" s="211">
        <f>T191-L191</f>
        <v>0</v>
      </c>
      <c r="X191" s="106">
        <f>T191/($T$198+1E-103)*100</f>
        <v>1.6</v>
      </c>
      <c r="Y191" s="160"/>
      <c r="Z191" s="12"/>
    </row>
    <row r="192" spans="1:26" ht="12.75">
      <c r="A192" s="14"/>
      <c r="B192" s="470" t="s">
        <v>138</v>
      </c>
      <c r="C192" s="470"/>
      <c r="D192" s="297"/>
      <c r="E192" s="291"/>
      <c r="F192" s="292"/>
      <c r="G192" s="391"/>
      <c r="H192" s="98"/>
      <c r="I192" s="98"/>
      <c r="J192" s="98"/>
      <c r="K192" s="107"/>
      <c r="L192" s="365"/>
      <c r="M192" s="90"/>
      <c r="N192" s="213"/>
      <c r="O192" s="90"/>
      <c r="P192" s="91"/>
      <c r="Q192" s="106"/>
      <c r="R192" s="293"/>
      <c r="S192" s="239"/>
      <c r="T192" s="293"/>
      <c r="U192" s="212"/>
      <c r="V192" s="212"/>
      <c r="W192" s="211"/>
      <c r="X192" s="106"/>
      <c r="Y192" s="160"/>
      <c r="Z192" s="12"/>
    </row>
    <row r="193" spans="1:26" ht="12.75">
      <c r="A193" s="1" t="s">
        <v>62</v>
      </c>
      <c r="B193" s="45" t="s">
        <v>61</v>
      </c>
      <c r="C193" s="44"/>
      <c r="D193" s="298"/>
      <c r="E193" s="272"/>
      <c r="F193" s="295"/>
      <c r="G193" s="389"/>
      <c r="H193" s="98"/>
      <c r="I193" s="98"/>
      <c r="J193" s="98"/>
      <c r="K193" s="107"/>
      <c r="L193" s="365"/>
      <c r="M193" s="90"/>
      <c r="N193" s="213"/>
      <c r="O193" s="90"/>
      <c r="P193" s="91"/>
      <c r="Q193" s="106"/>
      <c r="R193" s="293"/>
      <c r="S193" s="239"/>
      <c r="T193" s="293"/>
      <c r="U193" s="212"/>
      <c r="V193" s="212"/>
      <c r="W193" s="211"/>
      <c r="X193" s="106"/>
      <c r="Y193" s="160"/>
      <c r="Z193" s="12"/>
    </row>
    <row r="194" spans="1:26" ht="12.75">
      <c r="A194" s="1"/>
      <c r="B194" s="47" t="s">
        <v>60</v>
      </c>
      <c r="C194" s="46"/>
      <c r="D194" s="298"/>
      <c r="E194" s="272"/>
      <c r="F194" s="295"/>
      <c r="G194" s="389"/>
      <c r="H194" s="98"/>
      <c r="I194" s="98"/>
      <c r="J194" s="98"/>
      <c r="K194" s="107"/>
      <c r="L194" s="365"/>
      <c r="M194" s="90"/>
      <c r="N194" s="213"/>
      <c r="O194" s="90"/>
      <c r="P194" s="91"/>
      <c r="Q194" s="106"/>
      <c r="R194" s="293"/>
      <c r="S194" s="239"/>
      <c r="T194" s="293"/>
      <c r="U194" s="212"/>
      <c r="V194" s="212"/>
      <c r="W194" s="211"/>
      <c r="X194" s="106"/>
      <c r="Y194" s="160"/>
      <c r="Z194" s="12"/>
    </row>
    <row r="195" spans="1:26" ht="13.5">
      <c r="A195" s="1"/>
      <c r="B195" s="70" t="s">
        <v>135</v>
      </c>
      <c r="C195" s="44" t="s">
        <v>63</v>
      </c>
      <c r="D195" s="298"/>
      <c r="E195" s="299">
        <f>IF((E184+E196+E197+E188)&gt;(C207*D207+C212*D212+C215*D215+C216*D216+C217*D217)/1000+E202,(C207*D207+C212*D212+C215*D215+C216*D216+C217*D217)/1000+E202-E184-E196-E197-E188,0)</f>
        <v>0</v>
      </c>
      <c r="F195" s="362"/>
      <c r="G195" s="299"/>
      <c r="H195" s="98"/>
      <c r="I195" s="98"/>
      <c r="J195" s="98"/>
      <c r="K195" s="107"/>
      <c r="L195" s="365"/>
      <c r="M195" s="90"/>
      <c r="N195" s="213"/>
      <c r="O195" s="90"/>
      <c r="P195" s="91"/>
      <c r="Q195" s="106"/>
      <c r="R195" s="293"/>
      <c r="S195" s="239"/>
      <c r="T195" s="293"/>
      <c r="U195" s="212"/>
      <c r="V195" s="212"/>
      <c r="W195" s="211"/>
      <c r="X195" s="106"/>
      <c r="Y195" s="160"/>
      <c r="Z195" s="12"/>
    </row>
    <row r="196" spans="1:26" ht="15.75">
      <c r="A196" s="51">
        <v>26</v>
      </c>
      <c r="B196" s="40" t="s">
        <v>36</v>
      </c>
      <c r="C196" s="44" t="s">
        <v>63</v>
      </c>
      <c r="D196" s="271"/>
      <c r="E196" s="272"/>
      <c r="F196" s="295">
        <v>918.99</v>
      </c>
      <c r="G196" s="389">
        <v>67.8</v>
      </c>
      <c r="H196" s="98">
        <v>67.8</v>
      </c>
      <c r="I196" s="98">
        <v>67.8</v>
      </c>
      <c r="J196" s="98">
        <v>67.8</v>
      </c>
      <c r="K196" s="107">
        <f t="shared" si="20"/>
        <v>0</v>
      </c>
      <c r="L196" s="365">
        <f>H196</f>
        <v>67.8</v>
      </c>
      <c r="M196" s="90">
        <f>L196/(H196+1E-133)*100-100</f>
        <v>0</v>
      </c>
      <c r="N196" s="213"/>
      <c r="O196" s="90"/>
      <c r="P196" s="91"/>
      <c r="Q196" s="106"/>
      <c r="R196" s="293">
        <f>H196</f>
        <v>67.8</v>
      </c>
      <c r="S196" s="239">
        <f t="shared" si="21"/>
        <v>0</v>
      </c>
      <c r="T196" s="293">
        <f>H196*1.051</f>
        <v>71.26</v>
      </c>
      <c r="U196" s="212">
        <f>T196/(R196+1E-106)*100-100</f>
        <v>5.1</v>
      </c>
      <c r="V196" s="212">
        <f t="shared" si="23"/>
        <v>5.1</v>
      </c>
      <c r="W196" s="211">
        <f>T196-L196</f>
        <v>3.5</v>
      </c>
      <c r="X196" s="106">
        <f>T196/($T$198+1E-103)*100</f>
        <v>0.5</v>
      </c>
      <c r="Y196" s="166"/>
      <c r="Z196" s="12"/>
    </row>
    <row r="197" spans="1:26" ht="15.75">
      <c r="A197" s="51">
        <v>27</v>
      </c>
      <c r="B197" s="40" t="s">
        <v>37</v>
      </c>
      <c r="C197" s="44" t="s">
        <v>63</v>
      </c>
      <c r="D197" s="271"/>
      <c r="E197" s="272"/>
      <c r="F197" s="295"/>
      <c r="G197" s="389"/>
      <c r="H197" s="98"/>
      <c r="I197" s="98"/>
      <c r="J197" s="98"/>
      <c r="K197" s="107"/>
      <c r="L197" s="365"/>
      <c r="M197" s="90"/>
      <c r="N197" s="213"/>
      <c r="O197" s="90"/>
      <c r="P197" s="91"/>
      <c r="Q197" s="106"/>
      <c r="R197" s="293"/>
      <c r="S197" s="239"/>
      <c r="T197" s="293"/>
      <c r="U197" s="212"/>
      <c r="V197" s="212"/>
      <c r="W197" s="211"/>
      <c r="X197" s="106"/>
      <c r="Y197" s="167"/>
      <c r="Z197" s="12"/>
    </row>
    <row r="198" spans="1:25" ht="47.25">
      <c r="A198" s="51">
        <v>28</v>
      </c>
      <c r="B198" s="39" t="s">
        <v>111</v>
      </c>
      <c r="C198" s="53" t="s">
        <v>63</v>
      </c>
      <c r="D198" s="300">
        <f>D184+D187+D196+D197</f>
        <v>0</v>
      </c>
      <c r="E198" s="274">
        <f>IF(E187=0,E184+E188+E196+E197+E195,E184+E187+E196+E197+E195)</f>
        <v>0</v>
      </c>
      <c r="F198" s="301">
        <f>F184+F187+F196+F197</f>
        <v>152539.68</v>
      </c>
      <c r="G198" s="379">
        <v>12500.4</v>
      </c>
      <c r="H198" s="301">
        <f>H184+H187+H196+H197</f>
        <v>10031.2</v>
      </c>
      <c r="I198" s="301">
        <f>I184+I187+I196+I197</f>
        <v>12500.4</v>
      </c>
      <c r="J198" s="301">
        <f>J184+J187+J196+J197</f>
        <v>11836.8</v>
      </c>
      <c r="K198" s="112">
        <f t="shared" si="20"/>
        <v>18</v>
      </c>
      <c r="L198" s="379">
        <f>L184+L187+L196+L197</f>
        <v>15911.5</v>
      </c>
      <c r="M198" s="88">
        <f>L198/(H198+1E-133)*100-100</f>
        <v>58.6</v>
      </c>
      <c r="N198" s="273">
        <f>N184+N187+N196+N197</f>
        <v>0</v>
      </c>
      <c r="O198" s="88">
        <f>N198/(H198+1E-106)*100-100</f>
        <v>-100</v>
      </c>
      <c r="P198" s="89">
        <f>N198-L198</f>
        <v>-15911.5</v>
      </c>
      <c r="Q198" s="87">
        <f>Q132+Q140+Q151+Q152+Q153+Q156+Q157+Q158+Q162+Q168+Q174+Q179+Q183+Q187+Q196+Q197</f>
        <v>0</v>
      </c>
      <c r="R198" s="301">
        <f>R184+R187+R196+R197</f>
        <v>12546.6</v>
      </c>
      <c r="S198" s="205">
        <f t="shared" si="21"/>
        <v>25.08</v>
      </c>
      <c r="T198" s="301">
        <f>T184+T187+T196+T197</f>
        <v>13244.46</v>
      </c>
      <c r="U198" s="205">
        <f t="shared" si="22"/>
        <v>5.56</v>
      </c>
      <c r="V198" s="206">
        <f t="shared" si="23"/>
        <v>32</v>
      </c>
      <c r="W198" s="205">
        <f>T198-L198</f>
        <v>-2667.04</v>
      </c>
      <c r="X198" s="87">
        <f>T198/($T$198+1E-103)*100</f>
        <v>100</v>
      </c>
      <c r="Y198" s="165" t="s">
        <v>134</v>
      </c>
    </row>
    <row r="199" spans="1:25" ht="22.5" customHeight="1">
      <c r="A199" s="54">
        <v>29</v>
      </c>
      <c r="B199" s="50" t="s">
        <v>20</v>
      </c>
      <c r="C199" s="55" t="s">
        <v>18</v>
      </c>
      <c r="D199" s="283">
        <f aca="true" t="shared" si="29" ref="D199:L199">D198/(D24+1E-99)*1000</f>
        <v>0</v>
      </c>
      <c r="E199" s="283">
        <f t="shared" si="29"/>
        <v>0</v>
      </c>
      <c r="F199" s="285">
        <f t="shared" si="29"/>
        <v>898.35</v>
      </c>
      <c r="G199" s="285">
        <v>1119.48</v>
      </c>
      <c r="H199" s="285">
        <f>H198/(H24+1E-99)*1000</f>
        <v>898.35</v>
      </c>
      <c r="I199" s="285">
        <f>I198/(I24+1E-99)*1000</f>
        <v>1119.48</v>
      </c>
      <c r="J199" s="285">
        <f>J198/(J24+1E-99)*1000</f>
        <v>1060.05</v>
      </c>
      <c r="K199" s="115">
        <f t="shared" si="20"/>
        <v>18</v>
      </c>
      <c r="L199" s="285">
        <f t="shared" si="29"/>
        <v>1424.96</v>
      </c>
      <c r="M199" s="116">
        <f>L199/(H199+1E-133)*100-100</f>
        <v>58.6</v>
      </c>
      <c r="N199" s="302" t="e">
        <f>IF(N24=#REF!,N198/(N24+1E-101)*1000,"Ошибка")</f>
        <v>#REF!</v>
      </c>
      <c r="O199" s="116" t="e">
        <f>N199/(H199+1E-106)*100-100</f>
        <v>#REF!</v>
      </c>
      <c r="P199" s="117" t="e">
        <f>N199-L199</f>
        <v>#REF!</v>
      </c>
      <c r="Q199" s="118"/>
      <c r="R199" s="285">
        <f>R198/(R24+1E-99)*1000</f>
        <v>1123.61</v>
      </c>
      <c r="S199" s="444">
        <f t="shared" si="21"/>
        <v>25.07</v>
      </c>
      <c r="T199" s="285">
        <f>T198/(T24+1E-99)*1000</f>
        <v>1186.11</v>
      </c>
      <c r="U199" s="287">
        <f t="shared" si="22"/>
        <v>5.6</v>
      </c>
      <c r="V199" s="287">
        <f t="shared" si="23"/>
        <v>32</v>
      </c>
      <c r="W199" s="288">
        <f>T199-L199</f>
        <v>-238.9</v>
      </c>
      <c r="X199" s="286"/>
      <c r="Y199" s="304"/>
    </row>
    <row r="200" spans="1:25" ht="22.5" customHeight="1">
      <c r="A200" s="54">
        <v>30</v>
      </c>
      <c r="B200" s="50" t="s">
        <v>243</v>
      </c>
      <c r="C200" s="55" t="s">
        <v>18</v>
      </c>
      <c r="D200" s="283">
        <f>D199/(D25+1E-99)*1000</f>
        <v>0</v>
      </c>
      <c r="E200" s="283">
        <f>E199/(E25+1E-99)*1000</f>
        <v>0</v>
      </c>
      <c r="F200" s="285">
        <f>F199/(F25+1E-99)*1000</f>
        <v>8.9835E+104</v>
      </c>
      <c r="G200" s="285">
        <v>1120.48</v>
      </c>
      <c r="H200" s="285">
        <f>H199*1.18</f>
        <v>1060.05</v>
      </c>
      <c r="I200" s="285">
        <f>I199/(I25+1E-99)*1000</f>
        <v>1.11948E+105</v>
      </c>
      <c r="J200" s="285">
        <f>J199</f>
        <v>1060.05</v>
      </c>
      <c r="K200" s="115">
        <f t="shared" si="20"/>
        <v>0</v>
      </c>
      <c r="L200" s="285"/>
      <c r="M200" s="116"/>
      <c r="N200" s="302"/>
      <c r="O200" s="116"/>
      <c r="P200" s="117"/>
      <c r="Q200" s="118"/>
      <c r="R200" s="285">
        <f>R199</f>
        <v>1123.61</v>
      </c>
      <c r="S200" s="444">
        <f t="shared" si="21"/>
        <v>6</v>
      </c>
      <c r="T200" s="285">
        <f>T199</f>
        <v>1186.11</v>
      </c>
      <c r="U200" s="287">
        <f t="shared" si="22"/>
        <v>5.6</v>
      </c>
      <c r="V200" s="287">
        <f t="shared" si="23"/>
        <v>11.9</v>
      </c>
      <c r="W200" s="288"/>
      <c r="X200" s="286"/>
      <c r="Y200" s="304"/>
    </row>
    <row r="201" spans="1:35" ht="38.25" customHeight="1">
      <c r="A201" s="63"/>
      <c r="B201" s="473"/>
      <c r="C201" s="473"/>
      <c r="D201" s="473"/>
      <c r="E201" s="473"/>
      <c r="F201" s="473"/>
      <c r="G201" s="473"/>
      <c r="H201" s="473"/>
      <c r="I201" s="473"/>
      <c r="J201" s="473"/>
      <c r="K201" s="473"/>
      <c r="L201" s="473"/>
      <c r="M201" s="473"/>
      <c r="N201" s="473"/>
      <c r="O201" s="473"/>
      <c r="P201" s="473"/>
      <c r="Q201" s="473"/>
      <c r="R201" s="473"/>
      <c r="S201" s="473"/>
      <c r="T201" s="473"/>
      <c r="U201" s="473"/>
      <c r="V201" s="473"/>
      <c r="W201" s="473"/>
      <c r="X201" s="473"/>
      <c r="Y201" s="473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ht="39.75" customHeight="1" hidden="1">
      <c r="A202" s="456" t="s">
        <v>155</v>
      </c>
      <c r="B202" s="456"/>
      <c r="C202" s="53" t="s">
        <v>63</v>
      </c>
      <c r="D202" s="125"/>
      <c r="E202" s="141"/>
      <c r="F202" s="141"/>
      <c r="G202" s="141"/>
      <c r="H202" s="122">
        <f>IF((E207*L207+E212*L212+E215*L215+E216*L216+E217*L217)/1000=0,0,H198-(E207*L207+E212*L212+E215*L215+E216*L216+E217*L217)/1000)</f>
        <v>0</v>
      </c>
      <c r="I202" s="122"/>
      <c r="J202" s="122"/>
      <c r="K202" s="445"/>
      <c r="L202" s="380" t="s">
        <v>143</v>
      </c>
      <c r="M202" s="143" t="s">
        <v>143</v>
      </c>
      <c r="N202" s="140">
        <f>IF(Q218=0,0,N198-Q218)</f>
        <v>0</v>
      </c>
      <c r="O202" s="143" t="s">
        <v>143</v>
      </c>
      <c r="P202" s="143" t="s">
        <v>143</v>
      </c>
      <c r="Q202" s="143" t="s">
        <v>143</v>
      </c>
      <c r="R202" s="439"/>
      <c r="S202" s="439"/>
      <c r="T202" s="439"/>
      <c r="U202" s="440"/>
      <c r="V202" s="439"/>
      <c r="W202" s="439"/>
      <c r="X202" s="439"/>
      <c r="Y202" s="61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s="7" customFormat="1" ht="19.5" customHeight="1">
      <c r="A203" s="469" t="s">
        <v>244</v>
      </c>
      <c r="B203" s="469"/>
      <c r="C203" s="469"/>
      <c r="D203" s="469"/>
      <c r="E203" s="469"/>
      <c r="F203" s="469"/>
      <c r="G203" s="469"/>
      <c r="H203" s="469"/>
      <c r="I203" s="469"/>
      <c r="J203" s="469"/>
      <c r="K203" s="469"/>
      <c r="L203" s="469"/>
      <c r="M203" s="469"/>
      <c r="N203" s="469"/>
      <c r="O203" s="469"/>
      <c r="P203" s="469"/>
      <c r="Q203" s="469"/>
      <c r="R203" s="469"/>
      <c r="S203" s="469"/>
      <c r="T203" s="469"/>
      <c r="U203" s="469"/>
      <c r="V203" s="469"/>
      <c r="W203" s="469"/>
      <c r="X203" s="469"/>
      <c r="Y203" s="469"/>
      <c r="Z203" s="441"/>
      <c r="AA203" s="441"/>
      <c r="AB203" s="441"/>
      <c r="AC203" s="441"/>
      <c r="AD203" s="441"/>
      <c r="AE203" s="441"/>
      <c r="AF203" s="441"/>
      <c r="AG203" s="441"/>
      <c r="AH203" s="441"/>
      <c r="AI203" s="441"/>
    </row>
    <row r="204" spans="1:35" s="7" customFormat="1" ht="25.5" customHeight="1">
      <c r="A204" s="472"/>
      <c r="B204" s="471" t="s">
        <v>21</v>
      </c>
      <c r="C204" s="471" t="s">
        <v>212</v>
      </c>
      <c r="D204" s="471" t="s">
        <v>213</v>
      </c>
      <c r="E204" s="471" t="s">
        <v>214</v>
      </c>
      <c r="F204" s="457" t="s">
        <v>240</v>
      </c>
      <c r="G204" s="125"/>
      <c r="H204" s="471" t="s">
        <v>175</v>
      </c>
      <c r="I204" s="125"/>
      <c r="J204" s="125"/>
      <c r="K204" s="496" t="s">
        <v>248</v>
      </c>
      <c r="L204" s="496"/>
      <c r="M204" s="459" t="s">
        <v>216</v>
      </c>
      <c r="N204" s="516" t="s">
        <v>217</v>
      </c>
      <c r="O204" s="517"/>
      <c r="P204" s="517"/>
      <c r="Q204" s="518"/>
      <c r="R204" s="496" t="s">
        <v>218</v>
      </c>
      <c r="S204" s="496"/>
      <c r="T204" s="496"/>
      <c r="U204" s="496"/>
      <c r="V204" s="496"/>
      <c r="W204" s="457" t="s">
        <v>219</v>
      </c>
      <c r="X204" s="457" t="s">
        <v>106</v>
      </c>
      <c r="Y204" s="457" t="s">
        <v>220</v>
      </c>
      <c r="Z204" s="305"/>
      <c r="AA204" s="306"/>
      <c r="AB204" s="306"/>
      <c r="AC204" s="307"/>
      <c r="AD204" s="441"/>
      <c r="AE204" s="441"/>
      <c r="AF204" s="441"/>
      <c r="AG204" s="441"/>
      <c r="AH204" s="441"/>
      <c r="AI204" s="441"/>
    </row>
    <row r="205" spans="1:35" s="7" customFormat="1" ht="45" customHeight="1">
      <c r="A205" s="472"/>
      <c r="B205" s="471"/>
      <c r="C205" s="471"/>
      <c r="D205" s="471"/>
      <c r="E205" s="471"/>
      <c r="F205" s="457"/>
      <c r="G205" s="125"/>
      <c r="H205" s="471"/>
      <c r="I205" s="125"/>
      <c r="J205" s="125"/>
      <c r="K205" s="447" t="s">
        <v>249</v>
      </c>
      <c r="L205" s="447" t="s">
        <v>250</v>
      </c>
      <c r="M205" s="459"/>
      <c r="N205" s="519"/>
      <c r="O205" s="520"/>
      <c r="P205" s="520"/>
      <c r="Q205" s="521"/>
      <c r="R205" s="308" t="s">
        <v>221</v>
      </c>
      <c r="S205" s="57" t="s">
        <v>105</v>
      </c>
      <c r="T205" s="308" t="s">
        <v>222</v>
      </c>
      <c r="U205" s="57" t="s">
        <v>223</v>
      </c>
      <c r="V205" s="57" t="s">
        <v>205</v>
      </c>
      <c r="W205" s="457"/>
      <c r="X205" s="457"/>
      <c r="Y205" s="457"/>
      <c r="Z205" s="305"/>
      <c r="AA205" s="306"/>
      <c r="AB205" s="306"/>
      <c r="AC205" s="307"/>
      <c r="AD205" s="441"/>
      <c r="AE205" s="441"/>
      <c r="AF205" s="441"/>
      <c r="AG205" s="441"/>
      <c r="AH205" s="441"/>
      <c r="AI205" s="441"/>
    </row>
    <row r="206" spans="1:35" s="201" customFormat="1" ht="11.25" customHeight="1">
      <c r="A206" s="2">
        <v>1</v>
      </c>
      <c r="B206" s="69">
        <v>2</v>
      </c>
      <c r="C206" s="69">
        <v>3</v>
      </c>
      <c r="D206" s="69">
        <v>4</v>
      </c>
      <c r="E206" s="10">
        <v>5</v>
      </c>
      <c r="F206" s="10"/>
      <c r="G206" s="10"/>
      <c r="H206" s="10">
        <v>4</v>
      </c>
      <c r="I206" s="10"/>
      <c r="J206" s="10"/>
      <c r="K206" s="11">
        <v>5</v>
      </c>
      <c r="L206" s="11">
        <v>6</v>
      </c>
      <c r="M206" s="10">
        <v>7</v>
      </c>
      <c r="N206" s="531">
        <v>7</v>
      </c>
      <c r="O206" s="532"/>
      <c r="P206" s="532"/>
      <c r="Q206" s="533"/>
      <c r="R206" s="199">
        <v>8</v>
      </c>
      <c r="S206" s="199">
        <v>9</v>
      </c>
      <c r="T206" s="395">
        <v>10</v>
      </c>
      <c r="U206" s="200">
        <v>1</v>
      </c>
      <c r="V206" s="199">
        <v>12</v>
      </c>
      <c r="W206" s="2">
        <v>13</v>
      </c>
      <c r="X206" s="2">
        <v>14</v>
      </c>
      <c r="Y206" s="199">
        <v>15</v>
      </c>
      <c r="Z206" s="309"/>
      <c r="AA206" s="309"/>
      <c r="AB206" s="309"/>
      <c r="AC206" s="309"/>
      <c r="AD206" s="309"/>
      <c r="AE206" s="309"/>
      <c r="AF206" s="309"/>
      <c r="AG206" s="309"/>
      <c r="AH206" s="309"/>
      <c r="AI206" s="309"/>
    </row>
    <row r="207" spans="1:25" s="250" customFormat="1" ht="12.75" customHeight="1">
      <c r="A207" s="310">
        <v>1</v>
      </c>
      <c r="B207" s="311" t="s">
        <v>38</v>
      </c>
      <c r="C207" s="141">
        <f>C208+C209+C210</f>
        <v>8884.3</v>
      </c>
      <c r="D207" s="312"/>
      <c r="E207" s="141">
        <f>E208+E209+E210</f>
        <v>0</v>
      </c>
      <c r="F207" s="141">
        <f>H207*L207/1000</f>
        <v>10918.25</v>
      </c>
      <c r="G207" s="141">
        <f>H207*L207/1000</f>
        <v>10918.25</v>
      </c>
      <c r="H207" s="264">
        <v>8864.3</v>
      </c>
      <c r="I207" s="264"/>
      <c r="J207" s="264"/>
      <c r="K207" s="144">
        <v>1043.82</v>
      </c>
      <c r="L207" s="144">
        <f>K207*1.18</f>
        <v>1231.71</v>
      </c>
      <c r="M207" s="264">
        <f>M210</f>
        <v>8864.3</v>
      </c>
      <c r="N207" s="534"/>
      <c r="O207" s="535"/>
      <c r="P207" s="535"/>
      <c r="Q207" s="536"/>
      <c r="R207" s="263">
        <f>R200</f>
        <v>1123.61</v>
      </c>
      <c r="S207" s="264">
        <f>R207/(L207+1E-101)*100-100</f>
        <v>-8.78</v>
      </c>
      <c r="T207" s="263">
        <f>T199</f>
        <v>1186.11</v>
      </c>
      <c r="U207" s="264">
        <f>T207/(R207+1E-101)*100-100</f>
        <v>5.56</v>
      </c>
      <c r="V207" s="264">
        <f>T207/(L207+1E-101)*100-100</f>
        <v>-3.7</v>
      </c>
      <c r="W207" s="89"/>
      <c r="X207" s="89"/>
      <c r="Y207" s="264">
        <f>T207*M207/1000</f>
        <v>10514.03</v>
      </c>
    </row>
    <row r="208" spans="1:25" s="7" customFormat="1" ht="12.75">
      <c r="A208" s="62"/>
      <c r="B208" s="313" t="s">
        <v>39</v>
      </c>
      <c r="C208" s="77"/>
      <c r="D208" s="127"/>
      <c r="E208" s="77"/>
      <c r="F208" s="141"/>
      <c r="G208" s="77">
        <f aca="true" t="shared" si="30" ref="G208:G216">H208*L208/1000</f>
        <v>0</v>
      </c>
      <c r="H208" s="396"/>
      <c r="I208" s="396"/>
      <c r="J208" s="396"/>
      <c r="K208" s="99"/>
      <c r="L208" s="144"/>
      <c r="M208" s="396"/>
      <c r="N208" s="537"/>
      <c r="O208" s="538"/>
      <c r="P208" s="538"/>
      <c r="Q208" s="539"/>
      <c r="R208" s="263"/>
      <c r="S208" s="276"/>
      <c r="T208" s="260"/>
      <c r="U208" s="276"/>
      <c r="V208" s="276"/>
      <c r="W208" s="91"/>
      <c r="X208" s="89"/>
      <c r="Y208" s="264"/>
    </row>
    <row r="209" spans="1:25" s="7" customFormat="1" ht="12.75">
      <c r="A209" s="62"/>
      <c r="B209" s="313" t="s">
        <v>103</v>
      </c>
      <c r="C209" s="77"/>
      <c r="D209" s="127"/>
      <c r="E209" s="77"/>
      <c r="F209" s="141"/>
      <c r="G209" s="77">
        <f t="shared" si="30"/>
        <v>0</v>
      </c>
      <c r="H209" s="396"/>
      <c r="I209" s="396"/>
      <c r="J209" s="396"/>
      <c r="K209" s="99"/>
      <c r="L209" s="144"/>
      <c r="M209" s="396"/>
      <c r="N209" s="537"/>
      <c r="O209" s="538"/>
      <c r="P209" s="538"/>
      <c r="Q209" s="539"/>
      <c r="R209" s="263"/>
      <c r="S209" s="276"/>
      <c r="T209" s="260"/>
      <c r="U209" s="276"/>
      <c r="V209" s="276"/>
      <c r="W209" s="91"/>
      <c r="X209" s="89"/>
      <c r="Y209" s="264"/>
    </row>
    <row r="210" spans="1:25" s="7" customFormat="1" ht="12.75">
      <c r="A210" s="62"/>
      <c r="B210" s="314" t="s">
        <v>40</v>
      </c>
      <c r="C210" s="77">
        <v>8884.3</v>
      </c>
      <c r="D210" s="127"/>
      <c r="E210" s="77"/>
      <c r="F210" s="77">
        <f aca="true" t="shared" si="31" ref="F210:F216">H210*L210/1000</f>
        <v>10918.25</v>
      </c>
      <c r="G210" s="77">
        <f t="shared" si="30"/>
        <v>10918.25</v>
      </c>
      <c r="H210" s="396">
        <f>H207</f>
        <v>8864.3</v>
      </c>
      <c r="I210" s="396"/>
      <c r="J210" s="396"/>
      <c r="K210" s="99">
        <f>K207</f>
        <v>1043.82</v>
      </c>
      <c r="L210" s="144">
        <f aca="true" t="shared" si="32" ref="L210:L216">K210*1.18</f>
        <v>1231.71</v>
      </c>
      <c r="M210" s="396">
        <f>H210</f>
        <v>8864.3</v>
      </c>
      <c r="N210" s="537"/>
      <c r="O210" s="538"/>
      <c r="P210" s="538"/>
      <c r="Q210" s="539"/>
      <c r="R210" s="260">
        <f>R207</f>
        <v>1123.61</v>
      </c>
      <c r="S210" s="276">
        <f aca="true" t="shared" si="33" ref="S210:S216">R210/(L210+1E-101)*100-100</f>
        <v>-8.78</v>
      </c>
      <c r="T210" s="260">
        <f>T207</f>
        <v>1186.11</v>
      </c>
      <c r="U210" s="276">
        <f aca="true" t="shared" si="34" ref="U210:U218">T210/(R210+1E-101)*100-100</f>
        <v>5.56</v>
      </c>
      <c r="V210" s="276">
        <f aca="true" t="shared" si="35" ref="V210:V218">T210/(L210+1E-101)*100-100</f>
        <v>-3.7</v>
      </c>
      <c r="W210" s="91"/>
      <c r="X210" s="89"/>
      <c r="Y210" s="264"/>
    </row>
    <row r="211" spans="1:25" s="250" customFormat="1" ht="12.75">
      <c r="A211" s="310">
        <v>2</v>
      </c>
      <c r="B211" s="311" t="s">
        <v>189</v>
      </c>
      <c r="C211" s="141"/>
      <c r="D211" s="312"/>
      <c r="E211" s="141">
        <f>E212+E213+E214</f>
        <v>0</v>
      </c>
      <c r="F211" s="141"/>
      <c r="G211" s="77">
        <f t="shared" si="30"/>
        <v>0</v>
      </c>
      <c r="H211" s="397"/>
      <c r="I211" s="397"/>
      <c r="J211" s="397"/>
      <c r="K211" s="144"/>
      <c r="L211" s="144"/>
      <c r="M211" s="397"/>
      <c r="N211" s="534"/>
      <c r="O211" s="535"/>
      <c r="P211" s="535"/>
      <c r="Q211" s="536"/>
      <c r="R211" s="263"/>
      <c r="S211" s="276"/>
      <c r="T211" s="260"/>
      <c r="U211" s="276"/>
      <c r="V211" s="276"/>
      <c r="W211" s="89"/>
      <c r="X211" s="89"/>
      <c r="Y211" s="264"/>
    </row>
    <row r="212" spans="1:25" s="7" customFormat="1" ht="12.75">
      <c r="A212" s="62" t="s">
        <v>190</v>
      </c>
      <c r="B212" s="314" t="s">
        <v>185</v>
      </c>
      <c r="C212" s="141">
        <f>C213+C214</f>
        <v>2893.9</v>
      </c>
      <c r="D212" s="312"/>
      <c r="E212" s="141"/>
      <c r="F212" s="141">
        <f t="shared" si="31"/>
        <v>2279.7</v>
      </c>
      <c r="G212" s="141">
        <f t="shared" si="30"/>
        <v>2279.7</v>
      </c>
      <c r="H212" s="398">
        <f>H213+H214</f>
        <v>2275.69</v>
      </c>
      <c r="I212" s="398"/>
      <c r="J212" s="398"/>
      <c r="K212" s="144">
        <v>848.95</v>
      </c>
      <c r="L212" s="144">
        <f t="shared" si="32"/>
        <v>1001.76</v>
      </c>
      <c r="M212" s="398">
        <f>M213+M214</f>
        <v>2275.69</v>
      </c>
      <c r="N212" s="534"/>
      <c r="O212" s="535"/>
      <c r="P212" s="535"/>
      <c r="Q212" s="536"/>
      <c r="R212" s="263">
        <f>R210</f>
        <v>1123.61</v>
      </c>
      <c r="S212" s="264">
        <f t="shared" si="33"/>
        <v>12.16</v>
      </c>
      <c r="T212" s="263">
        <f>T210</f>
        <v>1186.11</v>
      </c>
      <c r="U212" s="264">
        <f t="shared" si="34"/>
        <v>5.56</v>
      </c>
      <c r="V212" s="264">
        <f t="shared" si="35"/>
        <v>18.4</v>
      </c>
      <c r="W212" s="89"/>
      <c r="X212" s="89"/>
      <c r="Y212" s="264">
        <f>T212*M212/1000</f>
        <v>2699.22</v>
      </c>
    </row>
    <row r="213" spans="1:25" s="7" customFormat="1" ht="12.75" customHeight="1">
      <c r="A213" s="62"/>
      <c r="B213" s="314" t="s">
        <v>186</v>
      </c>
      <c r="C213" s="77">
        <v>2501.8</v>
      </c>
      <c r="D213" s="127"/>
      <c r="E213" s="77"/>
      <c r="F213" s="77">
        <f t="shared" si="31"/>
        <v>1852.82</v>
      </c>
      <c r="G213" s="77">
        <f t="shared" si="30"/>
        <v>1852.82</v>
      </c>
      <c r="H213" s="396">
        <v>1849.56</v>
      </c>
      <c r="I213" s="396"/>
      <c r="J213" s="396"/>
      <c r="K213" s="99">
        <f>K212</f>
        <v>848.95</v>
      </c>
      <c r="L213" s="99">
        <f t="shared" si="32"/>
        <v>1001.76</v>
      </c>
      <c r="M213" s="396">
        <f>H213</f>
        <v>1849.56</v>
      </c>
      <c r="N213" s="537"/>
      <c r="O213" s="538"/>
      <c r="P213" s="538"/>
      <c r="Q213" s="539"/>
      <c r="R213" s="260">
        <f>R212</f>
        <v>1123.61</v>
      </c>
      <c r="S213" s="276">
        <f t="shared" si="33"/>
        <v>12.16</v>
      </c>
      <c r="T213" s="260">
        <f>T212</f>
        <v>1186.11</v>
      </c>
      <c r="U213" s="276">
        <f t="shared" si="34"/>
        <v>5.56</v>
      </c>
      <c r="V213" s="276">
        <f t="shared" si="35"/>
        <v>18.4</v>
      </c>
      <c r="W213" s="91"/>
      <c r="X213" s="89"/>
      <c r="Y213" s="264"/>
    </row>
    <row r="214" spans="1:25" s="7" customFormat="1" ht="12.75">
      <c r="A214" s="62"/>
      <c r="B214" s="314" t="s">
        <v>187</v>
      </c>
      <c r="C214" s="77">
        <v>392.1</v>
      </c>
      <c r="D214" s="127"/>
      <c r="E214" s="77"/>
      <c r="F214" s="77">
        <f t="shared" si="31"/>
        <v>426.88</v>
      </c>
      <c r="G214" s="77">
        <f t="shared" si="30"/>
        <v>426.88</v>
      </c>
      <c r="H214" s="396">
        <v>426.13</v>
      </c>
      <c r="I214" s="396"/>
      <c r="J214" s="396"/>
      <c r="K214" s="99">
        <f>K213</f>
        <v>848.95</v>
      </c>
      <c r="L214" s="99">
        <f t="shared" si="32"/>
        <v>1001.76</v>
      </c>
      <c r="M214" s="396">
        <f>H214</f>
        <v>426.13</v>
      </c>
      <c r="N214" s="537"/>
      <c r="O214" s="538"/>
      <c r="P214" s="538"/>
      <c r="Q214" s="539"/>
      <c r="R214" s="260">
        <f>R213</f>
        <v>1123.61</v>
      </c>
      <c r="S214" s="276">
        <f t="shared" si="33"/>
        <v>12.16</v>
      </c>
      <c r="T214" s="260">
        <f>T213</f>
        <v>1186.11</v>
      </c>
      <c r="U214" s="276">
        <f t="shared" si="34"/>
        <v>5.56</v>
      </c>
      <c r="V214" s="276">
        <f t="shared" si="35"/>
        <v>18.4</v>
      </c>
      <c r="W214" s="91"/>
      <c r="X214" s="89"/>
      <c r="Y214" s="264"/>
    </row>
    <row r="215" spans="1:25" s="7" customFormat="1" ht="15" customHeight="1">
      <c r="A215" s="72" t="s">
        <v>191</v>
      </c>
      <c r="B215" s="314" t="s">
        <v>184</v>
      </c>
      <c r="C215" s="77"/>
      <c r="D215" s="127"/>
      <c r="E215" s="77"/>
      <c r="F215" s="77"/>
      <c r="G215" s="77">
        <f t="shared" si="30"/>
        <v>0</v>
      </c>
      <c r="H215" s="396"/>
      <c r="I215" s="396"/>
      <c r="J215" s="396"/>
      <c r="K215" s="99"/>
      <c r="L215" s="144"/>
      <c r="M215" s="396"/>
      <c r="N215" s="537"/>
      <c r="O215" s="538"/>
      <c r="P215" s="538"/>
      <c r="Q215" s="539"/>
      <c r="R215" s="263"/>
      <c r="S215" s="276"/>
      <c r="T215" s="260"/>
      <c r="U215" s="276"/>
      <c r="V215" s="276"/>
      <c r="W215" s="91"/>
      <c r="X215" s="89"/>
      <c r="Y215" s="264"/>
    </row>
    <row r="216" spans="1:25" s="7" customFormat="1" ht="12.75" customHeight="1">
      <c r="A216" s="175" t="s">
        <v>192</v>
      </c>
      <c r="B216" s="314" t="s">
        <v>22</v>
      </c>
      <c r="C216" s="141">
        <v>26.3</v>
      </c>
      <c r="D216" s="312"/>
      <c r="E216" s="141"/>
      <c r="F216" s="141">
        <f t="shared" si="31"/>
        <v>32.39</v>
      </c>
      <c r="G216" s="141">
        <f t="shared" si="30"/>
        <v>32.39</v>
      </c>
      <c r="H216" s="399">
        <f>H218-H207-H212</f>
        <v>26.3</v>
      </c>
      <c r="I216" s="399"/>
      <c r="J216" s="399"/>
      <c r="K216" s="144">
        <f>K207</f>
        <v>1043.82</v>
      </c>
      <c r="L216" s="144">
        <f t="shared" si="32"/>
        <v>1231.71</v>
      </c>
      <c r="M216" s="399">
        <f>H216</f>
        <v>26.3</v>
      </c>
      <c r="N216" s="534"/>
      <c r="O216" s="535"/>
      <c r="P216" s="535"/>
      <c r="Q216" s="536"/>
      <c r="R216" s="263">
        <f>R207</f>
        <v>1123.61</v>
      </c>
      <c r="S216" s="264">
        <f t="shared" si="33"/>
        <v>-8.78</v>
      </c>
      <c r="T216" s="263">
        <f>T207</f>
        <v>1186.11</v>
      </c>
      <c r="U216" s="264">
        <f t="shared" si="34"/>
        <v>5.56</v>
      </c>
      <c r="V216" s="264">
        <f t="shared" si="35"/>
        <v>-3.7</v>
      </c>
      <c r="W216" s="89"/>
      <c r="X216" s="89"/>
      <c r="Y216" s="264">
        <f>T216*M216/1000</f>
        <v>31.19</v>
      </c>
    </row>
    <row r="217" spans="1:25" s="250" customFormat="1" ht="25.5">
      <c r="A217" s="315">
        <v>3</v>
      </c>
      <c r="B217" s="311" t="s">
        <v>25</v>
      </c>
      <c r="C217" s="141"/>
      <c r="D217" s="312"/>
      <c r="E217" s="141"/>
      <c r="F217" s="141"/>
      <c r="G217" s="141"/>
      <c r="H217" s="400"/>
      <c r="I217" s="400"/>
      <c r="J217" s="400"/>
      <c r="K217" s="144"/>
      <c r="L217" s="144"/>
      <c r="M217" s="400"/>
      <c r="N217" s="534"/>
      <c r="O217" s="535"/>
      <c r="P217" s="535"/>
      <c r="Q217" s="536"/>
      <c r="R217" s="263"/>
      <c r="S217" s="207"/>
      <c r="T217" s="263"/>
      <c r="U217" s="276"/>
      <c r="V217" s="276"/>
      <c r="W217" s="89"/>
      <c r="X217" s="89"/>
      <c r="Y217" s="276"/>
    </row>
    <row r="218" spans="1:25" s="7" customFormat="1" ht="15.75" customHeight="1">
      <c r="A218" s="1"/>
      <c r="B218" s="316" t="s">
        <v>41</v>
      </c>
      <c r="C218" s="122">
        <f>C207+C212+C215+C216+C217</f>
        <v>11804.5</v>
      </c>
      <c r="D218" s="122">
        <f>D207+D212+D215+D216+D217</f>
        <v>0</v>
      </c>
      <c r="E218" s="122">
        <f>E207+E212+E215+E216+E217</f>
        <v>0</v>
      </c>
      <c r="F218" s="122">
        <f>F207+F212+F215+F216+F217</f>
        <v>13230.34</v>
      </c>
      <c r="G218" s="317">
        <f>G207+G211+G215+G216+G217</f>
        <v>10950.6</v>
      </c>
      <c r="H218" s="122">
        <f>R24</f>
        <v>11166.29</v>
      </c>
      <c r="I218" s="122"/>
      <c r="J218" s="122"/>
      <c r="K218" s="112">
        <f>H199</f>
        <v>898.35</v>
      </c>
      <c r="L218" s="112">
        <f>J200</f>
        <v>1060.05</v>
      </c>
      <c r="M218" s="122">
        <f>M207+M212+M215+M216+M217</f>
        <v>11166.29</v>
      </c>
      <c r="N218" s="511" t="e">
        <f>N199</f>
        <v>#REF!</v>
      </c>
      <c r="O218" s="512"/>
      <c r="P218" s="512"/>
      <c r="Q218" s="513"/>
      <c r="R218" s="401">
        <f>R199</f>
        <v>1123.61</v>
      </c>
      <c r="S218" s="207">
        <f>R218/(L218+1E-101)*100-100</f>
        <v>6</v>
      </c>
      <c r="T218" s="401">
        <f>T199</f>
        <v>1186.11</v>
      </c>
      <c r="U218" s="264">
        <f t="shared" si="34"/>
        <v>5.56</v>
      </c>
      <c r="V218" s="264">
        <f t="shared" si="35"/>
        <v>11.89</v>
      </c>
      <c r="W218" s="207"/>
      <c r="X218" s="122"/>
      <c r="Y218" s="122">
        <f>Y207+Y212+Y215+Y216+Y217</f>
        <v>13244.44</v>
      </c>
    </row>
    <row r="219" spans="1:25" s="7" customFormat="1" ht="15.75" customHeight="1">
      <c r="A219" s="402"/>
      <c r="B219" s="403"/>
      <c r="C219" s="404"/>
      <c r="D219" s="404"/>
      <c r="E219" s="404"/>
      <c r="F219" s="404"/>
      <c r="G219" s="405"/>
      <c r="H219" s="404"/>
      <c r="I219" s="404"/>
      <c r="J219" s="404"/>
      <c r="K219" s="446"/>
      <c r="L219" s="406"/>
      <c r="M219" s="404"/>
      <c r="N219" s="407"/>
      <c r="O219" s="407"/>
      <c r="P219" s="407"/>
      <c r="Q219" s="407"/>
      <c r="R219" s="411"/>
      <c r="S219" s="412"/>
      <c r="T219" s="411"/>
      <c r="U219" s="409"/>
      <c r="V219" s="409"/>
      <c r="W219" s="408"/>
      <c r="X219" s="410"/>
      <c r="Y219" s="404"/>
    </row>
    <row r="220" spans="1:25" ht="36.75" customHeight="1">
      <c r="A220" s="514" t="s">
        <v>231</v>
      </c>
      <c r="B220" s="514"/>
      <c r="C220" s="514"/>
      <c r="D220" s="514"/>
      <c r="E220" s="514"/>
      <c r="F220" s="514"/>
      <c r="G220" s="514"/>
      <c r="H220" s="514"/>
      <c r="I220" s="514"/>
      <c r="J220" s="514"/>
      <c r="K220" s="514"/>
      <c r="L220" s="514"/>
      <c r="M220" s="514"/>
      <c r="N220" s="514"/>
      <c r="O220" s="514"/>
      <c r="P220" s="514"/>
      <c r="Q220" s="514"/>
      <c r="R220" s="514"/>
      <c r="S220" s="514"/>
      <c r="T220" s="514"/>
      <c r="U220" s="514"/>
      <c r="V220" s="514"/>
      <c r="W220" s="514"/>
      <c r="X220" s="514"/>
      <c r="Y220" s="514"/>
    </row>
    <row r="221" spans="1:25" ht="51.75" customHeight="1">
      <c r="A221" s="515" t="s">
        <v>70</v>
      </c>
      <c r="B221" s="515"/>
      <c r="C221" s="515"/>
      <c r="D221" s="515"/>
      <c r="E221" s="515"/>
      <c r="F221" s="515"/>
      <c r="G221" s="515"/>
      <c r="H221" s="515"/>
      <c r="I221" s="515"/>
      <c r="J221" s="515"/>
      <c r="K221" s="515"/>
      <c r="L221" s="515"/>
      <c r="M221" s="319"/>
      <c r="N221" s="320"/>
      <c r="O221" s="321"/>
      <c r="P221" s="465" t="s">
        <v>115</v>
      </c>
      <c r="Q221" s="465"/>
      <c r="R221" s="465"/>
      <c r="S221" s="465"/>
      <c r="T221" s="465"/>
      <c r="U221" s="465"/>
      <c r="V221" s="465"/>
      <c r="W221" s="465"/>
      <c r="X221" s="465"/>
      <c r="Y221" s="465"/>
    </row>
    <row r="222" spans="1:25" ht="9.75" customHeight="1">
      <c r="A222" s="318"/>
      <c r="B222" s="173"/>
      <c r="C222" s="173"/>
      <c r="D222" s="173"/>
      <c r="E222" s="173"/>
      <c r="F222" s="173"/>
      <c r="G222" s="173"/>
      <c r="H222" s="322"/>
      <c r="I222" s="322"/>
      <c r="J222" s="322"/>
      <c r="K222" s="322"/>
      <c r="L222" s="323"/>
      <c r="M222" s="319"/>
      <c r="N222" s="320"/>
      <c r="O222" s="321"/>
      <c r="P222" s="168"/>
      <c r="Q222" s="168"/>
      <c r="R222" s="442"/>
      <c r="S222" s="442"/>
      <c r="T222" s="442"/>
      <c r="U222" s="443"/>
      <c r="V222" s="442"/>
      <c r="W222" s="442"/>
      <c r="X222" s="442"/>
      <c r="Y222" s="168"/>
    </row>
    <row r="223" spans="1:25" ht="6.75" customHeight="1" hidden="1">
      <c r="A223" s="326"/>
      <c r="B223" s="326"/>
      <c r="C223" s="173"/>
      <c r="D223" s="173"/>
      <c r="E223" s="173"/>
      <c r="F223" s="173"/>
      <c r="G223" s="173"/>
      <c r="H223" s="320"/>
      <c r="I223" s="320"/>
      <c r="J223" s="320"/>
      <c r="K223" s="320"/>
      <c r="L223" s="327"/>
      <c r="M223" s="328"/>
      <c r="N223" s="320"/>
      <c r="O223" s="321"/>
      <c r="P223" s="329"/>
      <c r="Q223" s="329"/>
      <c r="R223" s="324"/>
      <c r="S223" s="324"/>
      <c r="T223" s="324"/>
      <c r="U223" s="325"/>
      <c r="V223" s="324"/>
      <c r="W223" s="324"/>
      <c r="X223" s="324"/>
      <c r="Y223" s="329"/>
    </row>
    <row r="224" spans="1:25" ht="24" customHeight="1">
      <c r="A224" s="515" t="s">
        <v>71</v>
      </c>
      <c r="B224" s="515"/>
      <c r="C224" s="515"/>
      <c r="D224" s="515"/>
      <c r="E224" s="515"/>
      <c r="F224" s="318"/>
      <c r="G224" s="318"/>
      <c r="H224" s="320"/>
      <c r="I224" s="320"/>
      <c r="J224" s="320"/>
      <c r="K224" s="320"/>
      <c r="L224" s="320"/>
      <c r="M224" s="320"/>
      <c r="N224" s="320"/>
      <c r="O224" s="321"/>
      <c r="P224" s="466" t="s">
        <v>116</v>
      </c>
      <c r="Q224" s="466"/>
      <c r="R224" s="466"/>
      <c r="S224" s="466"/>
      <c r="T224" s="466"/>
      <c r="U224" s="466"/>
      <c r="V224" s="466"/>
      <c r="W224" s="466"/>
      <c r="X224" s="466"/>
      <c r="Y224" s="466"/>
    </row>
    <row r="225" spans="1:25" ht="18" customHeight="1">
      <c r="A225" s="318"/>
      <c r="B225" s="173"/>
      <c r="C225" s="173"/>
      <c r="D225" s="173"/>
      <c r="E225" s="173"/>
      <c r="F225" s="173"/>
      <c r="G225" s="173"/>
      <c r="H225" s="320"/>
      <c r="I225" s="320"/>
      <c r="J225" s="320"/>
      <c r="K225" s="320"/>
      <c r="L225" s="330"/>
      <c r="M225" s="320"/>
      <c r="N225" s="320"/>
      <c r="O225" s="321"/>
      <c r="P225" s="170"/>
      <c r="Q225" s="170"/>
      <c r="R225" s="324"/>
      <c r="S225" s="324"/>
      <c r="T225" s="324"/>
      <c r="U225" s="325"/>
      <c r="V225" s="324"/>
      <c r="W225" s="324"/>
      <c r="X225" s="324"/>
      <c r="Y225" s="170"/>
    </row>
    <row r="226" spans="1:25" ht="15" customHeight="1" hidden="1">
      <c r="A226" s="318"/>
      <c r="B226" s="173"/>
      <c r="C226" s="173"/>
      <c r="D226" s="331"/>
      <c r="E226" s="331"/>
      <c r="F226" s="331"/>
      <c r="G226" s="331"/>
      <c r="H226" s="320"/>
      <c r="I226" s="320"/>
      <c r="J226" s="320"/>
      <c r="K226" s="320"/>
      <c r="L226" s="330"/>
      <c r="M226" s="321"/>
      <c r="N226" s="332"/>
      <c r="O226" s="332"/>
      <c r="P226" s="170"/>
      <c r="Q226" s="333"/>
      <c r="R226" s="324"/>
      <c r="S226" s="324"/>
      <c r="T226" s="324"/>
      <c r="U226" s="325"/>
      <c r="V226" s="324"/>
      <c r="W226" s="324"/>
      <c r="X226" s="324"/>
      <c r="Y226" s="333"/>
    </row>
    <row r="227" spans="1:25" ht="15.75" customHeight="1" hidden="1">
      <c r="A227" s="318"/>
      <c r="B227" s="173"/>
      <c r="C227" s="173"/>
      <c r="D227" s="331"/>
      <c r="E227" s="331"/>
      <c r="F227" s="331"/>
      <c r="G227" s="331"/>
      <c r="H227" s="320"/>
      <c r="I227" s="320"/>
      <c r="J227" s="320"/>
      <c r="K227" s="320"/>
      <c r="L227" s="330"/>
      <c r="M227" s="321"/>
      <c r="N227" s="332"/>
      <c r="O227" s="332"/>
      <c r="P227" s="170"/>
      <c r="Q227" s="333"/>
      <c r="R227" s="324"/>
      <c r="S227" s="324"/>
      <c r="T227" s="324"/>
      <c r="U227" s="325"/>
      <c r="V227" s="324"/>
      <c r="W227" s="324"/>
      <c r="X227" s="324"/>
      <c r="Y227" s="333"/>
    </row>
    <row r="228" spans="1:25" ht="68.25" customHeight="1">
      <c r="A228" s="515" t="s">
        <v>224</v>
      </c>
      <c r="B228" s="515"/>
      <c r="C228" s="515"/>
      <c r="D228" s="515"/>
      <c r="E228" s="515"/>
      <c r="F228" s="318"/>
      <c r="G228" s="318"/>
      <c r="H228" s="328"/>
      <c r="I228" s="328"/>
      <c r="J228" s="328"/>
      <c r="K228" s="328"/>
      <c r="L228" s="330"/>
      <c r="M228" s="334"/>
      <c r="N228" s="334"/>
      <c r="O228" s="334"/>
      <c r="P228" s="335"/>
      <c r="Q228" s="541" t="s">
        <v>225</v>
      </c>
      <c r="R228" s="541"/>
      <c r="S228" s="541"/>
      <c r="T228" s="541"/>
      <c r="U228" s="541"/>
      <c r="V228" s="541"/>
      <c r="W228" s="541"/>
      <c r="X228" s="541"/>
      <c r="Y228" s="541"/>
    </row>
    <row r="229" spans="1:25" ht="69.75" customHeight="1">
      <c r="A229" s="173"/>
      <c r="B229" s="173"/>
      <c r="C229" s="173"/>
      <c r="D229" s="173"/>
      <c r="E229" s="18"/>
      <c r="F229" s="18"/>
      <c r="G229" s="18"/>
      <c r="H229" s="22"/>
      <c r="I229" s="22"/>
      <c r="J229" s="22"/>
      <c r="K229" s="22"/>
      <c r="L229" s="336"/>
      <c r="M229"/>
      <c r="N229"/>
      <c r="O229"/>
      <c r="P229"/>
      <c r="Q229"/>
      <c r="Y229"/>
    </row>
    <row r="230" spans="1:25" ht="205.5" customHeight="1" hidden="1">
      <c r="A230" s="171"/>
      <c r="B230" s="29"/>
      <c r="C230" s="174"/>
      <c r="D230" s="18"/>
      <c r="E230" s="30"/>
      <c r="F230" s="30"/>
      <c r="G230" s="30"/>
      <c r="H230" s="30"/>
      <c r="I230" s="30"/>
      <c r="J230" s="30"/>
      <c r="K230" s="30"/>
      <c r="L230" s="336"/>
      <c r="M230"/>
      <c r="N230"/>
      <c r="O230"/>
      <c r="P230"/>
      <c r="Q230"/>
      <c r="Y230"/>
    </row>
    <row r="231" spans="1:25" ht="12.75" hidden="1">
      <c r="A231" s="66"/>
      <c r="B231" s="66"/>
      <c r="C231" s="66"/>
      <c r="D231" s="67"/>
      <c r="E231" s="67"/>
      <c r="F231" s="67"/>
      <c r="G231" s="67"/>
      <c r="H231" s="67"/>
      <c r="I231" s="67"/>
      <c r="J231" s="67"/>
      <c r="K231" s="67"/>
      <c r="L231" s="338"/>
      <c r="M231" s="65"/>
      <c r="N231"/>
      <c r="O231"/>
      <c r="P231"/>
      <c r="Q231"/>
      <c r="Y231"/>
    </row>
    <row r="232" spans="1:25" ht="12.75" hidden="1">
      <c r="A232" s="65"/>
      <c r="B232" s="66"/>
      <c r="C232" s="66"/>
      <c r="D232" s="66"/>
      <c r="E232" s="66"/>
      <c r="F232" s="66"/>
      <c r="G232" s="66"/>
      <c r="H232" s="67"/>
      <c r="I232" s="67"/>
      <c r="J232" s="67"/>
      <c r="K232" s="67"/>
      <c r="L232" s="338"/>
      <c r="M232" s="67"/>
      <c r="N232" s="67"/>
      <c r="O232" s="65"/>
      <c r="P232"/>
      <c r="Q232"/>
      <c r="Y232"/>
    </row>
    <row r="233" spans="1:25" ht="321.75" customHeight="1">
      <c r="A233" s="65"/>
      <c r="B233" s="66"/>
      <c r="C233" s="66"/>
      <c r="D233" s="66"/>
      <c r="E233" s="66"/>
      <c r="F233" s="66"/>
      <c r="G233" s="66"/>
      <c r="H233" s="67"/>
      <c r="I233" s="67"/>
      <c r="J233" s="67"/>
      <c r="K233" s="67"/>
      <c r="L233" s="338"/>
      <c r="M233" s="67"/>
      <c r="N233" s="67"/>
      <c r="O233" s="65"/>
      <c r="P233"/>
      <c r="Q233"/>
      <c r="Y233"/>
    </row>
    <row r="234" spans="1:26" ht="77.25" customHeight="1">
      <c r="A234" s="542" t="s">
        <v>226</v>
      </c>
      <c r="B234" s="542"/>
      <c r="C234" s="542"/>
      <c r="D234" s="542"/>
      <c r="E234" s="542"/>
      <c r="F234" s="542"/>
      <c r="G234" s="542"/>
      <c r="H234" s="542"/>
      <c r="I234" s="542"/>
      <c r="J234" s="542"/>
      <c r="K234" s="542"/>
      <c r="L234" s="542"/>
      <c r="M234" s="542"/>
      <c r="N234" s="542"/>
      <c r="O234" s="542"/>
      <c r="P234" s="542"/>
      <c r="Q234" s="542"/>
      <c r="R234" s="542"/>
      <c r="S234" s="542"/>
      <c r="T234" s="542"/>
      <c r="U234" s="542"/>
      <c r="V234" s="542"/>
      <c r="W234" s="542"/>
      <c r="X234" s="542"/>
      <c r="Y234" s="66"/>
      <c r="Z234" s="65"/>
    </row>
    <row r="235" spans="1:26" ht="12.75" hidden="1">
      <c r="A235" s="65"/>
      <c r="B235" s="66"/>
      <c r="C235" s="66"/>
      <c r="D235" s="66"/>
      <c r="E235" s="66"/>
      <c r="F235" s="66"/>
      <c r="G235" s="66"/>
      <c r="H235" s="67"/>
      <c r="I235" s="67"/>
      <c r="J235" s="67"/>
      <c r="K235" s="67"/>
      <c r="L235" s="338"/>
      <c r="M235" s="67"/>
      <c r="N235" s="67"/>
      <c r="O235" s="66"/>
      <c r="P235" s="66"/>
      <c r="Q235" s="66"/>
      <c r="Y235" s="66"/>
      <c r="Z235" s="65"/>
    </row>
    <row r="236" spans="1:35" ht="142.5" customHeight="1">
      <c r="A236" s="75"/>
      <c r="B236" s="73" t="s">
        <v>21</v>
      </c>
      <c r="C236" s="78" t="s">
        <v>148</v>
      </c>
      <c r="D236" s="78" t="s">
        <v>149</v>
      </c>
      <c r="E236" s="78" t="s">
        <v>151</v>
      </c>
      <c r="F236" s="78"/>
      <c r="G236" s="78"/>
      <c r="H236" s="78" t="s">
        <v>149</v>
      </c>
      <c r="I236" s="78"/>
      <c r="J236" s="78"/>
      <c r="K236" s="79"/>
      <c r="L236" s="363" t="s">
        <v>151</v>
      </c>
      <c r="M236" s="78" t="s">
        <v>140</v>
      </c>
      <c r="N236" s="78" t="s">
        <v>153</v>
      </c>
      <c r="O236" s="78" t="s">
        <v>150</v>
      </c>
      <c r="P236" s="78" t="s">
        <v>181</v>
      </c>
      <c r="Q236" s="79" t="s">
        <v>152</v>
      </c>
      <c r="R236" s="78" t="s">
        <v>153</v>
      </c>
      <c r="S236" s="78" t="s">
        <v>150</v>
      </c>
      <c r="T236" s="78" t="s">
        <v>181</v>
      </c>
      <c r="U236" s="79" t="s">
        <v>152</v>
      </c>
      <c r="V236" s="78" t="s">
        <v>141</v>
      </c>
      <c r="W236" s="501" t="s">
        <v>180</v>
      </c>
      <c r="X236" s="501"/>
      <c r="Y236" s="339"/>
      <c r="Z236" s="339"/>
      <c r="AA236" s="339"/>
      <c r="AB236" s="339"/>
      <c r="AC236" s="339"/>
      <c r="AD236" s="339"/>
      <c r="AE236" s="339"/>
      <c r="AF236" s="339"/>
      <c r="AG236" s="540"/>
      <c r="AH236" s="540"/>
      <c r="AI236" s="340"/>
    </row>
    <row r="237" spans="1:35" ht="12.75">
      <c r="A237" s="2">
        <v>1</v>
      </c>
      <c r="B237" s="81">
        <v>2</v>
      </c>
      <c r="C237" s="81">
        <v>3</v>
      </c>
      <c r="D237" s="81">
        <v>4</v>
      </c>
      <c r="E237" s="81">
        <v>5</v>
      </c>
      <c r="F237" s="81"/>
      <c r="G237" s="81"/>
      <c r="H237" s="81">
        <v>4</v>
      </c>
      <c r="I237" s="81"/>
      <c r="J237" s="81"/>
      <c r="K237" s="82"/>
      <c r="L237" s="381">
        <v>5</v>
      </c>
      <c r="M237" s="81">
        <v>6</v>
      </c>
      <c r="N237" s="81">
        <v>7</v>
      </c>
      <c r="O237" s="81">
        <v>8</v>
      </c>
      <c r="P237" s="81">
        <v>9</v>
      </c>
      <c r="Q237" s="82">
        <v>10</v>
      </c>
      <c r="R237" s="81">
        <v>7</v>
      </c>
      <c r="S237" s="81">
        <v>8</v>
      </c>
      <c r="T237" s="81">
        <v>9</v>
      </c>
      <c r="U237" s="82">
        <v>10</v>
      </c>
      <c r="V237" s="82">
        <v>11</v>
      </c>
      <c r="W237" s="505">
        <v>12</v>
      </c>
      <c r="X237" s="505"/>
      <c r="Y237" s="341"/>
      <c r="Z237" s="341"/>
      <c r="AA237" s="341"/>
      <c r="AB237" s="341"/>
      <c r="AC237" s="341"/>
      <c r="AD237" s="341"/>
      <c r="AE237" s="341"/>
      <c r="AF237" s="341"/>
      <c r="AG237" s="543"/>
      <c r="AH237" s="543"/>
      <c r="AI237" s="340"/>
    </row>
    <row r="238" spans="1:35" ht="26.25">
      <c r="A238" s="72">
        <v>1</v>
      </c>
      <c r="B238" s="71" t="s">
        <v>38</v>
      </c>
      <c r="C238" s="68" t="s">
        <v>143</v>
      </c>
      <c r="D238" s="68" t="s">
        <v>143</v>
      </c>
      <c r="E238" s="68" t="s">
        <v>143</v>
      </c>
      <c r="F238" s="68"/>
      <c r="G238" s="68"/>
      <c r="H238" s="68" t="s">
        <v>143</v>
      </c>
      <c r="I238" s="68"/>
      <c r="J238" s="68"/>
      <c r="K238" s="68"/>
      <c r="L238" s="342" t="s">
        <v>143</v>
      </c>
      <c r="M238" s="68" t="s">
        <v>143</v>
      </c>
      <c r="N238" s="68" t="s">
        <v>143</v>
      </c>
      <c r="O238" s="68" t="s">
        <v>143</v>
      </c>
      <c r="P238" s="68" t="s">
        <v>143</v>
      </c>
      <c r="Q238" s="68" t="s">
        <v>143</v>
      </c>
      <c r="R238" s="68" t="s">
        <v>143</v>
      </c>
      <c r="S238" s="68" t="s">
        <v>143</v>
      </c>
      <c r="T238" s="68" t="s">
        <v>143</v>
      </c>
      <c r="U238" s="68" t="s">
        <v>143</v>
      </c>
      <c r="V238" s="68" t="s">
        <v>143</v>
      </c>
      <c r="W238" s="500">
        <v>8864.3</v>
      </c>
      <c r="X238" s="500"/>
      <c r="Y238" s="343"/>
      <c r="Z238" s="343"/>
      <c r="AA238" s="343"/>
      <c r="AB238" s="343"/>
      <c r="AC238" s="343"/>
      <c r="AD238" s="343"/>
      <c r="AE238" s="343"/>
      <c r="AF238" s="343"/>
      <c r="AG238" s="508"/>
      <c r="AH238" s="508"/>
      <c r="AI238" s="340"/>
    </row>
    <row r="239" spans="1:35" ht="12.75">
      <c r="A239" s="72"/>
      <c r="B239" s="73" t="s">
        <v>39</v>
      </c>
      <c r="C239" s="68" t="s">
        <v>143</v>
      </c>
      <c r="D239" s="68" t="s">
        <v>143</v>
      </c>
      <c r="E239" s="68" t="s">
        <v>143</v>
      </c>
      <c r="F239" s="68"/>
      <c r="G239" s="68"/>
      <c r="H239" s="68" t="s">
        <v>143</v>
      </c>
      <c r="I239" s="68"/>
      <c r="J239" s="68"/>
      <c r="K239" s="68"/>
      <c r="L239" s="342" t="s">
        <v>143</v>
      </c>
      <c r="M239" s="68" t="s">
        <v>143</v>
      </c>
      <c r="N239" s="68" t="s">
        <v>143</v>
      </c>
      <c r="O239" s="68" t="s">
        <v>143</v>
      </c>
      <c r="P239" s="68" t="s">
        <v>143</v>
      </c>
      <c r="Q239" s="68" t="s">
        <v>143</v>
      </c>
      <c r="R239" s="68" t="s">
        <v>143</v>
      </c>
      <c r="S239" s="68" t="s">
        <v>143</v>
      </c>
      <c r="T239" s="68" t="s">
        <v>143</v>
      </c>
      <c r="U239" s="68" t="s">
        <v>143</v>
      </c>
      <c r="V239" s="68" t="s">
        <v>143</v>
      </c>
      <c r="W239" s="502"/>
      <c r="X239" s="502"/>
      <c r="Y239" s="343"/>
      <c r="Z239" s="343"/>
      <c r="AA239" s="343"/>
      <c r="AB239" s="343"/>
      <c r="AC239" s="343"/>
      <c r="AD239" s="343"/>
      <c r="AE239" s="343"/>
      <c r="AF239" s="343"/>
      <c r="AG239" s="510"/>
      <c r="AH239" s="510"/>
      <c r="AI239" s="340"/>
    </row>
    <row r="240" spans="1:35" ht="12.75">
      <c r="A240" s="72"/>
      <c r="B240" s="73" t="s">
        <v>103</v>
      </c>
      <c r="C240" s="68" t="s">
        <v>143</v>
      </c>
      <c r="D240" s="68" t="s">
        <v>143</v>
      </c>
      <c r="E240" s="68" t="s">
        <v>143</v>
      </c>
      <c r="F240" s="68"/>
      <c r="G240" s="68"/>
      <c r="H240" s="68" t="s">
        <v>143</v>
      </c>
      <c r="I240" s="68"/>
      <c r="J240" s="68"/>
      <c r="K240" s="68"/>
      <c r="L240" s="342" t="s">
        <v>143</v>
      </c>
      <c r="M240" s="68" t="s">
        <v>143</v>
      </c>
      <c r="N240" s="68" t="s">
        <v>143</v>
      </c>
      <c r="O240" s="68" t="s">
        <v>143</v>
      </c>
      <c r="P240" s="68" t="s">
        <v>143</v>
      </c>
      <c r="Q240" s="68" t="s">
        <v>143</v>
      </c>
      <c r="R240" s="68" t="s">
        <v>143</v>
      </c>
      <c r="S240" s="68" t="s">
        <v>143</v>
      </c>
      <c r="T240" s="68" t="s">
        <v>143</v>
      </c>
      <c r="U240" s="68" t="s">
        <v>143</v>
      </c>
      <c r="V240" s="68" t="s">
        <v>143</v>
      </c>
      <c r="W240" s="502"/>
      <c r="X240" s="502"/>
      <c r="Y240" s="343"/>
      <c r="Z240" s="343"/>
      <c r="AA240" s="343"/>
      <c r="AB240" s="343"/>
      <c r="AC240" s="343"/>
      <c r="AD240" s="343"/>
      <c r="AE240" s="343"/>
      <c r="AF240" s="343"/>
      <c r="AG240" s="510"/>
      <c r="AH240" s="510"/>
      <c r="AI240" s="340"/>
    </row>
    <row r="241" spans="1:35" ht="12.75">
      <c r="A241" s="72"/>
      <c r="B241" s="71" t="s">
        <v>40</v>
      </c>
      <c r="C241" s="68" t="s">
        <v>143</v>
      </c>
      <c r="D241" s="68" t="s">
        <v>143</v>
      </c>
      <c r="E241" s="68" t="s">
        <v>143</v>
      </c>
      <c r="F241" s="68"/>
      <c r="G241" s="68"/>
      <c r="H241" s="68" t="s">
        <v>143</v>
      </c>
      <c r="I241" s="68"/>
      <c r="J241" s="68"/>
      <c r="K241" s="68"/>
      <c r="L241" s="342" t="s">
        <v>143</v>
      </c>
      <c r="M241" s="68" t="s">
        <v>143</v>
      </c>
      <c r="N241" s="68" t="s">
        <v>143</v>
      </c>
      <c r="O241" s="68" t="s">
        <v>143</v>
      </c>
      <c r="P241" s="68" t="s">
        <v>143</v>
      </c>
      <c r="Q241" s="68" t="s">
        <v>143</v>
      </c>
      <c r="R241" s="68" t="s">
        <v>143</v>
      </c>
      <c r="S241" s="68" t="s">
        <v>143</v>
      </c>
      <c r="T241" s="68" t="s">
        <v>143</v>
      </c>
      <c r="U241" s="68" t="s">
        <v>143</v>
      </c>
      <c r="V241" s="68" t="s">
        <v>143</v>
      </c>
      <c r="W241" s="502"/>
      <c r="X241" s="502"/>
      <c r="Y241" s="343"/>
      <c r="Z241" s="343"/>
      <c r="AA241" s="343"/>
      <c r="AB241" s="343"/>
      <c r="AC241" s="343"/>
      <c r="AD241" s="343"/>
      <c r="AE241" s="343"/>
      <c r="AF241" s="343"/>
      <c r="AG241" s="510"/>
      <c r="AH241" s="510"/>
      <c r="AI241" s="340"/>
    </row>
    <row r="242" spans="1:35" ht="39">
      <c r="A242" s="62">
        <v>2</v>
      </c>
      <c r="B242" s="71" t="s">
        <v>183</v>
      </c>
      <c r="C242" s="123">
        <f>H242*L242</f>
        <v>1849.56</v>
      </c>
      <c r="D242" s="344">
        <f>0.0296*12</f>
        <v>0.3552</v>
      </c>
      <c r="E242" s="124">
        <v>31619</v>
      </c>
      <c r="F242" s="124"/>
      <c r="G242" s="124"/>
      <c r="H242" s="77">
        <v>0.26</v>
      </c>
      <c r="I242" s="77"/>
      <c r="J242" s="77"/>
      <c r="K242" s="396"/>
      <c r="L242" s="99">
        <v>7113.7</v>
      </c>
      <c r="M242" s="345"/>
      <c r="N242" s="346">
        <f>O242*P242*Q242</f>
        <v>2433.6</v>
      </c>
      <c r="O242" s="124">
        <v>0.2</v>
      </c>
      <c r="P242" s="124">
        <v>12</v>
      </c>
      <c r="Q242" s="99">
        <v>1014</v>
      </c>
      <c r="R242" s="346">
        <f>S242*T242*U242</f>
        <v>0</v>
      </c>
      <c r="S242" s="124"/>
      <c r="T242" s="124"/>
      <c r="U242" s="99"/>
      <c r="V242" s="345"/>
      <c r="W242" s="500">
        <f>C242+M242+R242+V242</f>
        <v>1849.56</v>
      </c>
      <c r="X242" s="500"/>
      <c r="Y242" s="347"/>
      <c r="Z242" s="348"/>
      <c r="AA242" s="349"/>
      <c r="AB242" s="350"/>
      <c r="AC242" s="348"/>
      <c r="AD242" s="348"/>
      <c r="AE242" s="348"/>
      <c r="AF242" s="349"/>
      <c r="AG242" s="508"/>
      <c r="AH242" s="508"/>
      <c r="AI242" s="340"/>
    </row>
    <row r="243" spans="1:35" ht="26.25">
      <c r="A243" s="62">
        <v>3</v>
      </c>
      <c r="B243" s="71" t="s">
        <v>154</v>
      </c>
      <c r="C243" s="123">
        <f>H243*L243</f>
        <v>426.13</v>
      </c>
      <c r="D243" s="77"/>
      <c r="E243" s="124"/>
      <c r="F243" s="124"/>
      <c r="G243" s="124"/>
      <c r="H243" s="77">
        <v>0.36</v>
      </c>
      <c r="I243" s="77"/>
      <c r="J243" s="77"/>
      <c r="K243" s="396"/>
      <c r="L243" s="99">
        <v>1183.7</v>
      </c>
      <c r="M243" s="345">
        <v>0</v>
      </c>
      <c r="N243" s="346">
        <f>O243*P243*Q243</f>
        <v>0</v>
      </c>
      <c r="O243" s="124"/>
      <c r="P243" s="124"/>
      <c r="Q243" s="99"/>
      <c r="R243" s="346">
        <f>S243*T243*U243</f>
        <v>0</v>
      </c>
      <c r="S243" s="124">
        <v>0</v>
      </c>
      <c r="T243" s="124">
        <v>0</v>
      </c>
      <c r="U243" s="99">
        <v>0</v>
      </c>
      <c r="V243" s="345"/>
      <c r="W243" s="500">
        <f>C243+M243+R243+V243</f>
        <v>426.13</v>
      </c>
      <c r="X243" s="500"/>
      <c r="Y243" s="351"/>
      <c r="Z243" s="348"/>
      <c r="AA243" s="349"/>
      <c r="AB243" s="350"/>
      <c r="AC243" s="348"/>
      <c r="AD243" s="348"/>
      <c r="AE243" s="348"/>
      <c r="AF243" s="349"/>
      <c r="AG243" s="508"/>
      <c r="AH243" s="508"/>
      <c r="AI243" s="340"/>
    </row>
    <row r="244" spans="1:35" ht="26.25">
      <c r="A244" s="72">
        <v>4</v>
      </c>
      <c r="B244" s="71" t="s">
        <v>184</v>
      </c>
      <c r="C244" s="68" t="s">
        <v>143</v>
      </c>
      <c r="D244" s="68" t="s">
        <v>143</v>
      </c>
      <c r="E244" s="68" t="s">
        <v>143</v>
      </c>
      <c r="F244" s="68"/>
      <c r="G244" s="68"/>
      <c r="H244" s="68" t="s">
        <v>143</v>
      </c>
      <c r="I244" s="68"/>
      <c r="J244" s="68"/>
      <c r="K244" s="68"/>
      <c r="L244" s="342" t="s">
        <v>143</v>
      </c>
      <c r="M244" s="68" t="s">
        <v>143</v>
      </c>
      <c r="N244" s="68" t="s">
        <v>143</v>
      </c>
      <c r="O244" s="68" t="s">
        <v>143</v>
      </c>
      <c r="P244" s="68" t="s">
        <v>143</v>
      </c>
      <c r="Q244" s="68" t="s">
        <v>143</v>
      </c>
      <c r="R244" s="68" t="s">
        <v>143</v>
      </c>
      <c r="S244" s="68" t="s">
        <v>143</v>
      </c>
      <c r="T244" s="68" t="s">
        <v>143</v>
      </c>
      <c r="U244" s="68" t="s">
        <v>143</v>
      </c>
      <c r="V244" s="68" t="s">
        <v>143</v>
      </c>
      <c r="W244" s="502"/>
      <c r="X244" s="502"/>
      <c r="Y244" s="343"/>
      <c r="Z244" s="343"/>
      <c r="AA244" s="343"/>
      <c r="AB244" s="343"/>
      <c r="AC244" s="343"/>
      <c r="AD244" s="343"/>
      <c r="AE244" s="343"/>
      <c r="AF244" s="343"/>
      <c r="AG244" s="510"/>
      <c r="AH244" s="510"/>
      <c r="AI244" s="340"/>
    </row>
    <row r="245" spans="1:35" ht="12.75">
      <c r="A245" s="72">
        <v>5</v>
      </c>
      <c r="B245" s="71" t="s">
        <v>22</v>
      </c>
      <c r="C245" s="68" t="s">
        <v>143</v>
      </c>
      <c r="D245" s="68" t="s">
        <v>143</v>
      </c>
      <c r="E245" s="68" t="s">
        <v>143</v>
      </c>
      <c r="F245" s="68"/>
      <c r="G245" s="68"/>
      <c r="H245" s="68" t="s">
        <v>143</v>
      </c>
      <c r="I245" s="68"/>
      <c r="J245" s="68"/>
      <c r="K245" s="68"/>
      <c r="L245" s="342" t="s">
        <v>143</v>
      </c>
      <c r="M245" s="68" t="s">
        <v>143</v>
      </c>
      <c r="N245" s="68" t="s">
        <v>143</v>
      </c>
      <c r="O245" s="68" t="s">
        <v>143</v>
      </c>
      <c r="P245" s="68" t="s">
        <v>143</v>
      </c>
      <c r="Q245" s="68" t="s">
        <v>143</v>
      </c>
      <c r="R245" s="68" t="s">
        <v>143</v>
      </c>
      <c r="S245" s="68" t="s">
        <v>143</v>
      </c>
      <c r="T245" s="68" t="s">
        <v>143</v>
      </c>
      <c r="U245" s="68" t="s">
        <v>143</v>
      </c>
      <c r="V245" s="68" t="s">
        <v>143</v>
      </c>
      <c r="W245" s="544">
        <v>26.3</v>
      </c>
      <c r="X245" s="545"/>
      <c r="Y245" s="343"/>
      <c r="Z245" s="343"/>
      <c r="AA245" s="343"/>
      <c r="AB245" s="343"/>
      <c r="AC245" s="343"/>
      <c r="AD245" s="343"/>
      <c r="AE245" s="343"/>
      <c r="AF245" s="343"/>
      <c r="AG245" s="509"/>
      <c r="AH245" s="509"/>
      <c r="AI245" s="340"/>
    </row>
    <row r="246" spans="1:35" ht="26.25">
      <c r="A246" s="72">
        <v>6</v>
      </c>
      <c r="B246" s="71" t="s">
        <v>25</v>
      </c>
      <c r="C246" s="68" t="s">
        <v>143</v>
      </c>
      <c r="D246" s="68" t="s">
        <v>143</v>
      </c>
      <c r="E246" s="68" t="s">
        <v>143</v>
      </c>
      <c r="F246" s="68"/>
      <c r="G246" s="68"/>
      <c r="H246" s="68" t="s">
        <v>143</v>
      </c>
      <c r="I246" s="68"/>
      <c r="J246" s="68"/>
      <c r="K246" s="68"/>
      <c r="L246" s="342" t="s">
        <v>143</v>
      </c>
      <c r="M246" s="68" t="s">
        <v>143</v>
      </c>
      <c r="N246" s="68" t="s">
        <v>143</v>
      </c>
      <c r="O246" s="68" t="s">
        <v>143</v>
      </c>
      <c r="P246" s="68" t="s">
        <v>143</v>
      </c>
      <c r="Q246" s="68" t="s">
        <v>143</v>
      </c>
      <c r="R246" s="68" t="s">
        <v>143</v>
      </c>
      <c r="S246" s="68" t="s">
        <v>143</v>
      </c>
      <c r="T246" s="68" t="s">
        <v>143</v>
      </c>
      <c r="U246" s="68" t="s">
        <v>143</v>
      </c>
      <c r="V246" s="68" t="s">
        <v>143</v>
      </c>
      <c r="W246" s="507"/>
      <c r="X246" s="507"/>
      <c r="Y246" s="343"/>
      <c r="Z246" s="343"/>
      <c r="AA246" s="343"/>
      <c r="AB246" s="343"/>
      <c r="AC246" s="343"/>
      <c r="AD246" s="343"/>
      <c r="AE246" s="343"/>
      <c r="AF246" s="343"/>
      <c r="AG246" s="509"/>
      <c r="AH246" s="509"/>
      <c r="AI246" s="340"/>
    </row>
    <row r="247" spans="1:35" ht="12.75">
      <c r="A247" s="134"/>
      <c r="B247" s="135" t="s">
        <v>41</v>
      </c>
      <c r="C247" s="352">
        <f>C242+C243</f>
        <v>2275.7</v>
      </c>
      <c r="D247" s="133" t="s">
        <v>143</v>
      </c>
      <c r="E247" s="133" t="s">
        <v>143</v>
      </c>
      <c r="F247" s="133"/>
      <c r="G247" s="133"/>
      <c r="H247" s="133" t="s">
        <v>143</v>
      </c>
      <c r="I247" s="133"/>
      <c r="J247" s="133"/>
      <c r="K247" s="342"/>
      <c r="L247" s="342" t="s">
        <v>143</v>
      </c>
      <c r="M247" s="352">
        <f>M242+M243</f>
        <v>0</v>
      </c>
      <c r="N247" s="352">
        <f>N242+N243</f>
        <v>2433.6</v>
      </c>
      <c r="O247" s="133" t="s">
        <v>143</v>
      </c>
      <c r="P247" s="133" t="s">
        <v>143</v>
      </c>
      <c r="Q247" s="133" t="s">
        <v>143</v>
      </c>
      <c r="R247" s="352">
        <f>R242+R243</f>
        <v>0</v>
      </c>
      <c r="S247" s="133" t="s">
        <v>143</v>
      </c>
      <c r="T247" s="133" t="s">
        <v>143</v>
      </c>
      <c r="U247" s="133" t="s">
        <v>143</v>
      </c>
      <c r="V247" s="352">
        <f>V242+V243</f>
        <v>0</v>
      </c>
      <c r="W247" s="506">
        <f>W238+W242+W243+W244+W245+W246</f>
        <v>11166.29</v>
      </c>
      <c r="X247" s="506"/>
      <c r="Y247" s="353"/>
      <c r="Z247" s="353"/>
      <c r="AA247" s="354"/>
      <c r="AB247" s="354"/>
      <c r="AC247" s="353"/>
      <c r="AD247" s="353"/>
      <c r="AE247" s="353"/>
      <c r="AF247" s="354"/>
      <c r="AG247" s="508"/>
      <c r="AH247" s="508"/>
      <c r="AI247" s="340"/>
    </row>
    <row r="248" spans="1:35" ht="12.75">
      <c r="A248" s="65"/>
      <c r="B248" s="66"/>
      <c r="C248" s="66"/>
      <c r="D248" s="66"/>
      <c r="E248" s="66"/>
      <c r="F248" s="66"/>
      <c r="G248" s="66"/>
      <c r="H248" s="67"/>
      <c r="I248" s="67"/>
      <c r="J248" s="67"/>
      <c r="K248" s="67"/>
      <c r="L248" s="338"/>
      <c r="M248" s="67"/>
      <c r="N248" s="67"/>
      <c r="O248" s="66"/>
      <c r="P248" s="66"/>
      <c r="Q248" s="66"/>
      <c r="Y248" s="355"/>
      <c r="Z248" s="356"/>
      <c r="AA248" s="340"/>
      <c r="AB248" s="340"/>
      <c r="AC248" s="340"/>
      <c r="AD248" s="340"/>
      <c r="AE248" s="340"/>
      <c r="AF248" s="340"/>
      <c r="AG248" s="340"/>
      <c r="AH248" s="340"/>
      <c r="AI248" s="340"/>
    </row>
    <row r="249" spans="1:26" ht="12.75">
      <c r="A249" s="65"/>
      <c r="B249" s="66"/>
      <c r="C249" s="66"/>
      <c r="D249" s="66"/>
      <c r="E249" s="66"/>
      <c r="F249" s="66"/>
      <c r="G249" s="66"/>
      <c r="H249" s="67"/>
      <c r="I249" s="67"/>
      <c r="J249" s="67"/>
      <c r="K249" s="67"/>
      <c r="L249" s="338"/>
      <c r="M249" s="67"/>
      <c r="N249" s="67"/>
      <c r="O249" s="66"/>
      <c r="P249" s="66"/>
      <c r="Q249" s="66"/>
      <c r="Y249" s="66"/>
      <c r="Z249" s="65"/>
    </row>
    <row r="250" spans="1:26" ht="12.75">
      <c r="A250" s="65"/>
      <c r="B250" s="66"/>
      <c r="C250" s="66"/>
      <c r="D250" s="66"/>
      <c r="E250" s="66"/>
      <c r="F250" s="66"/>
      <c r="G250" s="66"/>
      <c r="H250" s="67"/>
      <c r="I250" s="67"/>
      <c r="J250" s="67"/>
      <c r="K250" s="67"/>
      <c r="L250" s="338"/>
      <c r="M250" s="67"/>
      <c r="N250" s="67"/>
      <c r="O250" s="66"/>
      <c r="P250" s="66"/>
      <c r="Q250" s="66"/>
      <c r="Y250" s="66"/>
      <c r="Z250" s="65"/>
    </row>
    <row r="251" spans="1:26" ht="12.75">
      <c r="A251" s="65"/>
      <c r="B251" s="66"/>
      <c r="C251" s="66"/>
      <c r="D251" s="66"/>
      <c r="E251" s="66"/>
      <c r="F251" s="66"/>
      <c r="G251" s="66"/>
      <c r="H251" s="67"/>
      <c r="I251" s="67"/>
      <c r="J251" s="67"/>
      <c r="K251" s="67"/>
      <c r="L251" s="338"/>
      <c r="M251" s="67"/>
      <c r="N251" s="67"/>
      <c r="O251" s="66"/>
      <c r="P251" s="66"/>
      <c r="Q251" s="66"/>
      <c r="Y251" s="66"/>
      <c r="Z251" s="65"/>
    </row>
    <row r="252" spans="1:26" ht="12.75">
      <c r="A252" s="65"/>
      <c r="B252" s="66"/>
      <c r="C252" s="66"/>
      <c r="D252" s="66"/>
      <c r="E252" s="66"/>
      <c r="F252" s="66"/>
      <c r="G252" s="66"/>
      <c r="H252" s="67"/>
      <c r="I252" s="67"/>
      <c r="J252" s="67"/>
      <c r="K252" s="67"/>
      <c r="L252" s="338"/>
      <c r="M252" s="67"/>
      <c r="N252" s="67"/>
      <c r="O252" s="66"/>
      <c r="P252" s="66"/>
      <c r="Q252" s="66"/>
      <c r="Y252" s="66"/>
      <c r="Z252" s="65"/>
    </row>
    <row r="253" spans="1:26" ht="12.75">
      <c r="A253" s="65"/>
      <c r="B253" s="66"/>
      <c r="C253" s="66"/>
      <c r="D253" s="66"/>
      <c r="E253" s="66"/>
      <c r="F253" s="66"/>
      <c r="G253" s="66"/>
      <c r="H253" s="67"/>
      <c r="I253" s="67"/>
      <c r="J253" s="67"/>
      <c r="K253" s="67"/>
      <c r="L253" s="338"/>
      <c r="M253" s="67"/>
      <c r="N253" s="67"/>
      <c r="O253" s="66"/>
      <c r="P253" s="66"/>
      <c r="Q253" s="66"/>
      <c r="Y253" s="66"/>
      <c r="Z253" s="65"/>
    </row>
    <row r="254" spans="1:26" ht="12.75">
      <c r="A254" s="65"/>
      <c r="B254" s="66"/>
      <c r="C254" s="66"/>
      <c r="D254" s="66"/>
      <c r="E254" s="66"/>
      <c r="F254" s="66"/>
      <c r="G254" s="66"/>
      <c r="H254" s="67"/>
      <c r="I254" s="67"/>
      <c r="J254" s="67"/>
      <c r="K254" s="67"/>
      <c r="L254" s="338"/>
      <c r="M254" s="67"/>
      <c r="N254" s="67"/>
      <c r="O254" s="66"/>
      <c r="P254" s="66"/>
      <c r="Q254" s="66"/>
      <c r="Y254" s="66"/>
      <c r="Z254" s="65"/>
    </row>
    <row r="255" spans="1:26" ht="12.75">
      <c r="A255" s="65"/>
      <c r="B255" s="66"/>
      <c r="C255" s="66"/>
      <c r="D255" s="66"/>
      <c r="E255" s="66"/>
      <c r="F255" s="66"/>
      <c r="G255" s="66"/>
      <c r="H255" s="67"/>
      <c r="I255" s="67"/>
      <c r="J255" s="67"/>
      <c r="K255" s="67"/>
      <c r="L255" s="338"/>
      <c r="M255" s="67"/>
      <c r="N255" s="67"/>
      <c r="O255" s="66"/>
      <c r="P255" s="66"/>
      <c r="Q255" s="66"/>
      <c r="Y255" s="66"/>
      <c r="Z255" s="65"/>
    </row>
    <row r="256" spans="1:26" ht="12.75">
      <c r="A256" s="65"/>
      <c r="B256" s="66"/>
      <c r="C256" s="66"/>
      <c r="D256" s="66"/>
      <c r="E256" s="66"/>
      <c r="F256" s="66"/>
      <c r="G256" s="66"/>
      <c r="H256" s="67"/>
      <c r="I256" s="67"/>
      <c r="J256" s="67"/>
      <c r="K256" s="67"/>
      <c r="L256" s="338"/>
      <c r="M256" s="67"/>
      <c r="N256" s="67"/>
      <c r="O256" s="66"/>
      <c r="P256" s="66"/>
      <c r="Q256" s="66"/>
      <c r="Y256" s="66"/>
      <c r="Z256" s="65"/>
    </row>
    <row r="257" spans="1:26" ht="12.75">
      <c r="A257" s="65"/>
      <c r="B257" s="66"/>
      <c r="C257" s="66"/>
      <c r="D257" s="66"/>
      <c r="E257" s="66"/>
      <c r="F257" s="66"/>
      <c r="G257" s="66"/>
      <c r="H257" s="67"/>
      <c r="I257" s="67"/>
      <c r="J257" s="67"/>
      <c r="K257" s="67"/>
      <c r="L257" s="338"/>
      <c r="M257" s="67"/>
      <c r="N257" s="67"/>
      <c r="O257" s="66"/>
      <c r="P257" s="66"/>
      <c r="Q257" s="66"/>
      <c r="Y257" s="66"/>
      <c r="Z257" s="65"/>
    </row>
    <row r="258" spans="1:26" ht="18">
      <c r="A258" s="65"/>
      <c r="B258" s="131" t="s">
        <v>144</v>
      </c>
      <c r="C258" s="66"/>
      <c r="D258" s="66"/>
      <c r="E258" s="66"/>
      <c r="F258" s="66"/>
      <c r="G258" s="66"/>
      <c r="H258" s="67"/>
      <c r="I258" s="67"/>
      <c r="J258" s="67"/>
      <c r="K258" s="67"/>
      <c r="L258" s="338"/>
      <c r="M258" s="67"/>
      <c r="N258" s="67"/>
      <c r="O258" s="66"/>
      <c r="P258" s="66"/>
      <c r="Q258" s="66"/>
      <c r="Y258" s="66"/>
      <c r="Z258" s="65"/>
    </row>
    <row r="259" spans="1:26" ht="18">
      <c r="A259" s="65"/>
      <c r="B259" s="131"/>
      <c r="C259" s="66"/>
      <c r="D259" s="66"/>
      <c r="E259" s="66"/>
      <c r="F259" s="66"/>
      <c r="G259" s="66"/>
      <c r="H259" s="67"/>
      <c r="I259" s="67"/>
      <c r="J259" s="67"/>
      <c r="K259" s="67"/>
      <c r="L259" s="338"/>
      <c r="M259" s="67"/>
      <c r="N259" s="67"/>
      <c r="O259" s="66"/>
      <c r="P259" s="66"/>
      <c r="Q259" s="66"/>
      <c r="Y259" s="66"/>
      <c r="Z259" s="65"/>
    </row>
    <row r="260" spans="1:26" ht="18">
      <c r="A260" s="65"/>
      <c r="B260" s="131"/>
      <c r="C260" s="66"/>
      <c r="D260" s="66"/>
      <c r="E260" s="66"/>
      <c r="F260" s="66"/>
      <c r="G260" s="66"/>
      <c r="H260" s="67"/>
      <c r="I260" s="67"/>
      <c r="J260" s="67"/>
      <c r="K260" s="67"/>
      <c r="L260" s="338"/>
      <c r="M260" s="67"/>
      <c r="N260" s="67"/>
      <c r="O260" s="66"/>
      <c r="P260" s="66"/>
      <c r="Q260" s="66"/>
      <c r="Y260" s="66"/>
      <c r="Z260" s="65"/>
    </row>
    <row r="261" spans="1:26" ht="18">
      <c r="A261" s="65"/>
      <c r="B261" s="131"/>
      <c r="C261" s="66"/>
      <c r="D261" s="66"/>
      <c r="E261" s="66"/>
      <c r="F261" s="66"/>
      <c r="G261" s="66"/>
      <c r="H261" s="67"/>
      <c r="I261" s="67"/>
      <c r="J261" s="67"/>
      <c r="K261" s="67"/>
      <c r="L261" s="338"/>
      <c r="M261" s="67"/>
      <c r="N261" s="67"/>
      <c r="O261" s="66"/>
      <c r="P261" s="66"/>
      <c r="Q261" s="66"/>
      <c r="Y261" s="66"/>
      <c r="Z261" s="65"/>
    </row>
    <row r="262" spans="1:26" ht="18">
      <c r="A262" s="65"/>
      <c r="B262" s="131"/>
      <c r="C262" s="66"/>
      <c r="D262" s="66"/>
      <c r="E262" s="66"/>
      <c r="F262" s="66"/>
      <c r="G262" s="66"/>
      <c r="H262" s="67"/>
      <c r="I262" s="67"/>
      <c r="J262" s="67"/>
      <c r="K262" s="67"/>
      <c r="L262" s="338"/>
      <c r="M262" s="67"/>
      <c r="N262" s="67"/>
      <c r="O262" s="66"/>
      <c r="P262" s="66"/>
      <c r="Q262" s="66"/>
      <c r="Y262" s="66"/>
      <c r="Z262" s="65"/>
    </row>
    <row r="263" ht="18">
      <c r="B263" s="132"/>
    </row>
    <row r="264" ht="18">
      <c r="B264" s="132"/>
    </row>
    <row r="265" ht="18">
      <c r="B265" s="132"/>
    </row>
    <row r="266" ht="18">
      <c r="B266" s="132" t="s">
        <v>146</v>
      </c>
    </row>
    <row r="267" ht="18">
      <c r="B267" s="132" t="s">
        <v>145</v>
      </c>
    </row>
  </sheetData>
  <sheetProtection/>
  <mergeCells count="95">
    <mergeCell ref="Y159:Y160"/>
    <mergeCell ref="A3:D3"/>
    <mergeCell ref="A4:A7"/>
    <mergeCell ref="B4:B7"/>
    <mergeCell ref="C4:C7"/>
    <mergeCell ref="F204:F205"/>
    <mergeCell ref="H204:H205"/>
    <mergeCell ref="B192:C192"/>
    <mergeCell ref="B188:C188"/>
    <mergeCell ref="B189:C189"/>
    <mergeCell ref="R5:X5"/>
    <mergeCell ref="L6:L7"/>
    <mergeCell ref="M6:M7"/>
    <mergeCell ref="F5:F7"/>
    <mergeCell ref="G5:G7"/>
    <mergeCell ref="H5:H7"/>
    <mergeCell ref="R6:S6"/>
    <mergeCell ref="T6:X6"/>
    <mergeCell ref="N206:Q206"/>
    <mergeCell ref="B190:C190"/>
    <mergeCell ref="B191:C191"/>
    <mergeCell ref="A203:Y203"/>
    <mergeCell ref="A204:A205"/>
    <mergeCell ref="B204:B205"/>
    <mergeCell ref="C204:C205"/>
    <mergeCell ref="D204:D205"/>
    <mergeCell ref="K204:L204"/>
    <mergeCell ref="N209:Q209"/>
    <mergeCell ref="N210:Q210"/>
    <mergeCell ref="N211:Q211"/>
    <mergeCell ref="N212:Q212"/>
    <mergeCell ref="N207:Q207"/>
    <mergeCell ref="N208:Q208"/>
    <mergeCell ref="A234:X234"/>
    <mergeCell ref="A220:Y220"/>
    <mergeCell ref="A221:L221"/>
    <mergeCell ref="P221:Y221"/>
    <mergeCell ref="A224:E224"/>
    <mergeCell ref="P224:Y224"/>
    <mergeCell ref="A228:E228"/>
    <mergeCell ref="Q228:Y228"/>
    <mergeCell ref="I5:I7"/>
    <mergeCell ref="J5:J7"/>
    <mergeCell ref="K5:K7"/>
    <mergeCell ref="L5:M5"/>
    <mergeCell ref="N217:Q217"/>
    <mergeCell ref="N218:Q218"/>
    <mergeCell ref="N213:Q213"/>
    <mergeCell ref="N214:Q214"/>
    <mergeCell ref="N215:Q215"/>
    <mergeCell ref="N216:Q216"/>
    <mergeCell ref="Y9:Y11"/>
    <mergeCell ref="Y12:Y13"/>
    <mergeCell ref="Y21:Y24"/>
    <mergeCell ref="Y29:Y31"/>
    <mergeCell ref="A1:Y2"/>
    <mergeCell ref="E3:N3"/>
    <mergeCell ref="O3:X3"/>
    <mergeCell ref="Y3:Y7"/>
    <mergeCell ref="F4:J4"/>
    <mergeCell ref="L4:X4"/>
    <mergeCell ref="B201:Y201"/>
    <mergeCell ref="A202:B202"/>
    <mergeCell ref="W204:W205"/>
    <mergeCell ref="X204:X205"/>
    <mergeCell ref="Y204:Y205"/>
    <mergeCell ref="N204:Q205"/>
    <mergeCell ref="R204:V204"/>
    <mergeCell ref="E204:E205"/>
    <mergeCell ref="M204:M205"/>
    <mergeCell ref="AG236:AH236"/>
    <mergeCell ref="W237:X237"/>
    <mergeCell ref="AG237:AH237"/>
    <mergeCell ref="W238:X238"/>
    <mergeCell ref="AG238:AH238"/>
    <mergeCell ref="W236:X236"/>
    <mergeCell ref="W247:X247"/>
    <mergeCell ref="AG247:AH247"/>
    <mergeCell ref="W245:X245"/>
    <mergeCell ref="AG242:AH242"/>
    <mergeCell ref="W243:X243"/>
    <mergeCell ref="AG243:AH243"/>
    <mergeCell ref="W244:X244"/>
    <mergeCell ref="AG244:AH244"/>
    <mergeCell ref="W242:X242"/>
    <mergeCell ref="Y79:Y80"/>
    <mergeCell ref="AG245:AH245"/>
    <mergeCell ref="W246:X246"/>
    <mergeCell ref="AG246:AH246"/>
    <mergeCell ref="AG239:AH239"/>
    <mergeCell ref="W240:X240"/>
    <mergeCell ref="AG240:AH240"/>
    <mergeCell ref="W241:X241"/>
    <mergeCell ref="AG241:AH241"/>
    <mergeCell ref="W239:X239"/>
  </mergeCells>
  <printOptions/>
  <pageMargins left="0" right="0" top="0" bottom="0" header="0.5118110236220472" footer="0.5118110236220472"/>
  <pageSetup horizontalDpi="600" verticalDpi="600" orientation="portrait" paperSize="9" scale="72" r:id="rId3"/>
  <colBreaks count="1" manualBreakCount="1">
    <brk id="2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66"/>
  <sheetViews>
    <sheetView zoomScalePageLayoutView="0" workbookViewId="0" topLeftCell="A10">
      <selection activeCell="F131" sqref="F131"/>
    </sheetView>
  </sheetViews>
  <sheetFormatPr defaultColWidth="9.00390625" defaultRowHeight="12.75"/>
  <cols>
    <col min="1" max="1" width="4.375" style="0" customWidth="1"/>
    <col min="2" max="2" width="22.875" style="4" customWidth="1"/>
    <col min="3" max="3" width="8.125" style="4" customWidth="1"/>
    <col min="4" max="4" width="8.50390625" style="4" hidden="1" customWidth="1"/>
    <col min="5" max="5" width="9.00390625" style="4" hidden="1" customWidth="1"/>
    <col min="6" max="6" width="8.875" style="4" customWidth="1"/>
    <col min="7" max="7" width="8.875" style="4" hidden="1" customWidth="1"/>
    <col min="8" max="8" width="8.50390625" style="6" customWidth="1"/>
    <col min="9" max="9" width="8.50390625" style="6" hidden="1" customWidth="1"/>
    <col min="10" max="10" width="8.50390625" style="357" customWidth="1"/>
    <col min="11" max="11" width="8.375" style="6" customWidth="1"/>
    <col min="12" max="12" width="8.50390625" style="6" hidden="1" customWidth="1"/>
    <col min="13" max="13" width="7.50390625" style="4" hidden="1" customWidth="1"/>
    <col min="14" max="14" width="8.50390625" style="4" hidden="1" customWidth="1"/>
    <col min="15" max="15" width="6.50390625" style="4" hidden="1" customWidth="1"/>
    <col min="16" max="16" width="8.125" style="0" customWidth="1"/>
    <col min="17" max="18" width="8.625" style="0" customWidth="1"/>
    <col min="19" max="20" width="8.125" style="0" customWidth="1"/>
    <col min="21" max="21" width="7.875" style="337" customWidth="1"/>
    <col min="22" max="22" width="8.125" style="0" customWidth="1"/>
    <col min="23" max="23" width="7.50390625" style="0" customWidth="1"/>
    <col min="24" max="24" width="8.50390625" style="0" customWidth="1"/>
    <col min="25" max="25" width="11.00390625" style="4" customWidth="1"/>
    <col min="26" max="26" width="9.875" style="0" customWidth="1"/>
    <col min="28" max="28" width="11.50390625" style="0" customWidth="1"/>
  </cols>
  <sheetData>
    <row r="1" spans="1:25" ht="10.5" customHeight="1">
      <c r="A1" s="482" t="s">
        <v>227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</row>
    <row r="2" spans="1:25" ht="32.25" customHeigh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</row>
    <row r="3" spans="1:25" ht="19.5" customHeight="1">
      <c r="A3" s="493" t="s">
        <v>228</v>
      </c>
      <c r="B3" s="481"/>
      <c r="C3" s="481"/>
      <c r="D3" s="481"/>
      <c r="E3" s="481" t="s">
        <v>229</v>
      </c>
      <c r="F3" s="481"/>
      <c r="G3" s="481"/>
      <c r="H3" s="481"/>
      <c r="I3" s="481"/>
      <c r="J3" s="481"/>
      <c r="K3" s="481"/>
      <c r="L3" s="481"/>
      <c r="M3" s="524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6"/>
      <c r="Y3" s="527" t="s">
        <v>136</v>
      </c>
    </row>
    <row r="4" spans="1:25" ht="17.25" customHeight="1">
      <c r="A4" s="478" t="s">
        <v>0</v>
      </c>
      <c r="B4" s="478" t="s">
        <v>1</v>
      </c>
      <c r="C4" s="478" t="s">
        <v>2</v>
      </c>
      <c r="D4" s="189" t="s">
        <v>198</v>
      </c>
      <c r="E4" s="189" t="s">
        <v>199</v>
      </c>
      <c r="F4" s="497" t="s">
        <v>239</v>
      </c>
      <c r="G4" s="498"/>
      <c r="H4" s="498"/>
      <c r="I4" s="499"/>
      <c r="J4" s="497" t="s">
        <v>200</v>
      </c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9"/>
      <c r="Y4" s="527"/>
    </row>
    <row r="5" spans="1:25" ht="21.75" customHeight="1">
      <c r="A5" s="479"/>
      <c r="B5" s="479"/>
      <c r="C5" s="479"/>
      <c r="D5" s="190"/>
      <c r="E5" s="190"/>
      <c r="F5" s="528" t="s">
        <v>234</v>
      </c>
      <c r="G5" s="528" t="s">
        <v>107</v>
      </c>
      <c r="H5" s="528" t="s">
        <v>235</v>
      </c>
      <c r="I5" s="195" t="s">
        <v>235</v>
      </c>
      <c r="J5" s="476" t="s">
        <v>107</v>
      </c>
      <c r="K5" s="476"/>
      <c r="L5" s="192"/>
      <c r="M5" s="192"/>
      <c r="N5" s="192"/>
      <c r="O5" s="192"/>
      <c r="P5" s="497" t="s">
        <v>201</v>
      </c>
      <c r="Q5" s="498"/>
      <c r="R5" s="498"/>
      <c r="S5" s="498"/>
      <c r="T5" s="498"/>
      <c r="U5" s="498"/>
      <c r="V5" s="498"/>
      <c r="W5" s="498"/>
      <c r="X5" s="499"/>
      <c r="Y5" s="527"/>
    </row>
    <row r="6" spans="1:25" ht="18" customHeight="1">
      <c r="A6" s="479"/>
      <c r="B6" s="479"/>
      <c r="C6" s="479"/>
      <c r="D6" s="190"/>
      <c r="E6" s="190"/>
      <c r="F6" s="529"/>
      <c r="G6" s="529"/>
      <c r="H6" s="529"/>
      <c r="I6" s="383"/>
      <c r="J6" s="476" t="s">
        <v>233</v>
      </c>
      <c r="K6" s="456" t="s">
        <v>105</v>
      </c>
      <c r="L6" s="193" t="s">
        <v>109</v>
      </c>
      <c r="M6" s="194"/>
      <c r="N6" s="195" t="s">
        <v>113</v>
      </c>
      <c r="O6" s="196" t="s">
        <v>114</v>
      </c>
      <c r="P6" s="497" t="s">
        <v>203</v>
      </c>
      <c r="Q6" s="499"/>
      <c r="R6" s="392"/>
      <c r="S6" s="497" t="s">
        <v>204</v>
      </c>
      <c r="T6" s="498"/>
      <c r="U6" s="498"/>
      <c r="V6" s="498"/>
      <c r="W6" s="498"/>
      <c r="X6" s="499"/>
      <c r="Y6" s="527"/>
    </row>
    <row r="7" spans="1:25" ht="48" customHeight="1">
      <c r="A7" s="480"/>
      <c r="B7" s="480"/>
      <c r="C7" s="480"/>
      <c r="D7" s="191"/>
      <c r="E7" s="191"/>
      <c r="F7" s="530"/>
      <c r="G7" s="530"/>
      <c r="H7" s="530"/>
      <c r="I7" s="384"/>
      <c r="J7" s="476"/>
      <c r="K7" s="456"/>
      <c r="L7" s="192" t="s">
        <v>104</v>
      </c>
      <c r="M7" s="57" t="s">
        <v>105</v>
      </c>
      <c r="N7" s="197"/>
      <c r="O7" s="191"/>
      <c r="P7" s="192" t="s">
        <v>202</v>
      </c>
      <c r="Q7" s="57" t="s">
        <v>205</v>
      </c>
      <c r="R7" s="57" t="s">
        <v>241</v>
      </c>
      <c r="S7" s="192" t="s">
        <v>202</v>
      </c>
      <c r="T7" s="192"/>
      <c r="U7" s="57" t="s">
        <v>206</v>
      </c>
      <c r="V7" s="189" t="s">
        <v>205</v>
      </c>
      <c r="W7" s="198" t="s">
        <v>207</v>
      </c>
      <c r="X7" s="189" t="s">
        <v>114</v>
      </c>
      <c r="Y7" s="527"/>
    </row>
    <row r="8" spans="1:25" s="201" customFormat="1" ht="11.2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4</v>
      </c>
      <c r="G8" s="48">
        <v>5</v>
      </c>
      <c r="H8" s="56">
        <v>6</v>
      </c>
      <c r="I8" s="56"/>
      <c r="J8" s="56">
        <v>7</v>
      </c>
      <c r="K8" s="48">
        <v>8</v>
      </c>
      <c r="L8" s="56">
        <v>7</v>
      </c>
      <c r="M8" s="48">
        <v>8</v>
      </c>
      <c r="N8" s="56">
        <v>9</v>
      </c>
      <c r="O8" s="48">
        <v>10</v>
      </c>
      <c r="P8" s="199">
        <v>9</v>
      </c>
      <c r="Q8" s="48">
        <v>10</v>
      </c>
      <c r="R8" s="417"/>
      <c r="S8" s="56">
        <v>11</v>
      </c>
      <c r="T8" s="417"/>
      <c r="U8" s="48">
        <v>12</v>
      </c>
      <c r="V8" s="56">
        <v>13</v>
      </c>
      <c r="W8" s="48">
        <v>14</v>
      </c>
      <c r="X8" s="199">
        <v>15</v>
      </c>
      <c r="Y8" s="58">
        <v>16</v>
      </c>
    </row>
    <row r="9" spans="1:28" ht="16.5" customHeight="1">
      <c r="A9" s="51">
        <v>1</v>
      </c>
      <c r="B9" s="39" t="s">
        <v>3</v>
      </c>
      <c r="C9" s="52" t="s">
        <v>4</v>
      </c>
      <c r="D9" s="202">
        <f>D10+D11+D12+D13+D14+D15+D16+D17</f>
        <v>0</v>
      </c>
      <c r="E9" s="203">
        <f>E10+E11+E12+E13+E14+E15+E16+E17</f>
        <v>0</v>
      </c>
      <c r="F9" s="202">
        <v>194171</v>
      </c>
      <c r="G9" s="227">
        <v>16332</v>
      </c>
      <c r="H9" s="113">
        <f>H10</f>
        <v>12762.88</v>
      </c>
      <c r="I9" s="113">
        <v>16332</v>
      </c>
      <c r="J9" s="227">
        <v>16332</v>
      </c>
      <c r="K9" s="89">
        <f aca="true" t="shared" si="0" ref="K9:K24">J9/(H9+1E-133)*100-100</f>
        <v>27.96</v>
      </c>
      <c r="L9" s="204">
        <f>L10+L11+L12+L13+L14+L15+L16+L17</f>
        <v>0</v>
      </c>
      <c r="M9" s="88">
        <f aca="true" t="shared" si="1" ref="M9:M18">L9/(H9+1E-106)*100-100</f>
        <v>-100</v>
      </c>
      <c r="N9" s="89">
        <f aca="true" t="shared" si="2" ref="N9:N18">L9-J9</f>
        <v>-16332</v>
      </c>
      <c r="O9" s="86"/>
      <c r="P9" s="204">
        <f>H9</f>
        <v>12762.88</v>
      </c>
      <c r="Q9" s="205">
        <f aca="true" t="shared" si="3" ref="Q9:Q24">P9/(H9+1E-106)*100-100</f>
        <v>0</v>
      </c>
      <c r="R9" s="423">
        <v>12762.88</v>
      </c>
      <c r="S9" s="204">
        <f>P9</f>
        <v>12762.88</v>
      </c>
      <c r="T9" s="418">
        <v>12762.88</v>
      </c>
      <c r="U9" s="206">
        <f aca="true" t="shared" si="4" ref="U9:U24">S9/(P9+1E-106)*100-100</f>
        <v>0</v>
      </c>
      <c r="V9" s="206">
        <f aca="true" t="shared" si="5" ref="V9:V24">S9/(H9+1E-106)*100-100</f>
        <v>0</v>
      </c>
      <c r="W9" s="207">
        <f aca="true" t="shared" si="6" ref="W9:W24">S9-J9</f>
        <v>-3569.1</v>
      </c>
      <c r="X9" s="206"/>
      <c r="Y9" s="468" t="s">
        <v>208</v>
      </c>
      <c r="Z9" s="3"/>
      <c r="AA9" s="3"/>
      <c r="AB9" s="8"/>
    </row>
    <row r="10" spans="1:28" ht="12.75" customHeight="1">
      <c r="A10" s="1"/>
      <c r="B10" s="40" t="s">
        <v>193</v>
      </c>
      <c r="C10" s="31" t="s">
        <v>4</v>
      </c>
      <c r="D10" s="208"/>
      <c r="E10" s="209"/>
      <c r="F10" s="359">
        <v>186668</v>
      </c>
      <c r="G10" s="385">
        <v>16332</v>
      </c>
      <c r="H10" s="100">
        <f>H18+H21</f>
        <v>12762.88</v>
      </c>
      <c r="I10" s="100">
        <v>16332</v>
      </c>
      <c r="J10" s="385">
        <v>16332</v>
      </c>
      <c r="K10" s="91">
        <f t="shared" si="0"/>
        <v>27.96</v>
      </c>
      <c r="L10" s="210"/>
      <c r="M10" s="90">
        <f t="shared" si="1"/>
        <v>-100</v>
      </c>
      <c r="N10" s="91">
        <f t="shared" si="2"/>
        <v>-16332</v>
      </c>
      <c r="O10" s="92"/>
      <c r="P10" s="210">
        <f>P9</f>
        <v>12762.88</v>
      </c>
      <c r="Q10" s="211">
        <f t="shared" si="3"/>
        <v>0</v>
      </c>
      <c r="R10" s="425">
        <v>12762.9</v>
      </c>
      <c r="S10" s="210">
        <f>P10</f>
        <v>12762.88</v>
      </c>
      <c r="T10" s="419">
        <v>12762.88</v>
      </c>
      <c r="U10" s="212">
        <f t="shared" si="4"/>
        <v>0</v>
      </c>
      <c r="V10" s="212">
        <f t="shared" si="5"/>
        <v>0</v>
      </c>
      <c r="W10" s="211">
        <f t="shared" si="6"/>
        <v>-3569.1</v>
      </c>
      <c r="X10" s="211"/>
      <c r="Y10" s="468"/>
      <c r="Z10" s="3"/>
      <c r="AA10" s="3"/>
      <c r="AB10" s="8"/>
    </row>
    <row r="11" spans="1:28" ht="12.75" customHeight="1" hidden="1">
      <c r="A11" s="1"/>
      <c r="B11" s="40" t="s">
        <v>87</v>
      </c>
      <c r="C11" s="31" t="s">
        <v>4</v>
      </c>
      <c r="D11" s="208"/>
      <c r="E11" s="209"/>
      <c r="F11" s="359">
        <v>7114</v>
      </c>
      <c r="G11" s="385"/>
      <c r="H11" s="98"/>
      <c r="I11" s="98"/>
      <c r="J11" s="385"/>
      <c r="K11" s="91">
        <f t="shared" si="0"/>
        <v>-100</v>
      </c>
      <c r="L11" s="213"/>
      <c r="M11" s="90">
        <f t="shared" si="1"/>
        <v>-100</v>
      </c>
      <c r="N11" s="91">
        <f t="shared" si="2"/>
        <v>0</v>
      </c>
      <c r="O11" s="92"/>
      <c r="P11" s="213"/>
      <c r="Q11" s="211">
        <f t="shared" si="3"/>
        <v>-100</v>
      </c>
      <c r="R11" s="425"/>
      <c r="S11" s="213"/>
      <c r="T11" s="420"/>
      <c r="U11" s="212">
        <f t="shared" si="4"/>
        <v>-100</v>
      </c>
      <c r="V11" s="212">
        <f t="shared" si="5"/>
        <v>-100</v>
      </c>
      <c r="W11" s="211">
        <f t="shared" si="6"/>
        <v>0</v>
      </c>
      <c r="X11" s="211"/>
      <c r="Y11" s="468"/>
      <c r="Z11" s="3"/>
      <c r="AA11" s="3"/>
      <c r="AB11" s="8"/>
    </row>
    <row r="12" spans="1:28" ht="12.75" customHeight="1" hidden="1">
      <c r="A12" s="1"/>
      <c r="B12" s="40" t="s">
        <v>88</v>
      </c>
      <c r="C12" s="31" t="s">
        <v>4</v>
      </c>
      <c r="D12" s="208"/>
      <c r="E12" s="209"/>
      <c r="F12" s="359"/>
      <c r="G12" s="385"/>
      <c r="H12" s="98"/>
      <c r="I12" s="98"/>
      <c r="J12" s="385"/>
      <c r="K12" s="91">
        <f t="shared" si="0"/>
        <v>-100</v>
      </c>
      <c r="L12" s="213"/>
      <c r="M12" s="90">
        <f t="shared" si="1"/>
        <v>-100</v>
      </c>
      <c r="N12" s="91">
        <f t="shared" si="2"/>
        <v>0</v>
      </c>
      <c r="O12" s="92"/>
      <c r="P12" s="213">
        <f>J12</f>
        <v>0</v>
      </c>
      <c r="Q12" s="211">
        <f t="shared" si="3"/>
        <v>-100</v>
      </c>
      <c r="R12" s="425"/>
      <c r="S12" s="213">
        <f>P12</f>
        <v>0</v>
      </c>
      <c r="T12" s="420"/>
      <c r="U12" s="212">
        <f t="shared" si="4"/>
        <v>-100</v>
      </c>
      <c r="V12" s="212">
        <f t="shared" si="5"/>
        <v>-100</v>
      </c>
      <c r="W12" s="211">
        <f t="shared" si="6"/>
        <v>0</v>
      </c>
      <c r="X12" s="211"/>
      <c r="Y12" s="453" t="s">
        <v>209</v>
      </c>
      <c r="Z12" s="3"/>
      <c r="AA12" s="3"/>
      <c r="AB12" s="8"/>
    </row>
    <row r="13" spans="1:28" ht="12.75" customHeight="1" hidden="1">
      <c r="A13" s="1"/>
      <c r="B13" s="40" t="s">
        <v>89</v>
      </c>
      <c r="C13" s="31" t="s">
        <v>4</v>
      </c>
      <c r="D13" s="214"/>
      <c r="E13" s="215"/>
      <c r="F13" s="214">
        <v>389</v>
      </c>
      <c r="G13" s="386"/>
      <c r="H13" s="98"/>
      <c r="I13" s="98"/>
      <c r="J13" s="386"/>
      <c r="K13" s="91">
        <f t="shared" si="0"/>
        <v>-100</v>
      </c>
      <c r="L13" s="213"/>
      <c r="M13" s="90">
        <f t="shared" si="1"/>
        <v>-100</v>
      </c>
      <c r="N13" s="91">
        <f t="shared" si="2"/>
        <v>0</v>
      </c>
      <c r="O13" s="92"/>
      <c r="P13" s="213"/>
      <c r="Q13" s="211">
        <f t="shared" si="3"/>
        <v>-100</v>
      </c>
      <c r="R13" s="425"/>
      <c r="S13" s="213"/>
      <c r="T13" s="420"/>
      <c r="U13" s="212">
        <f t="shared" si="4"/>
        <v>-100</v>
      </c>
      <c r="V13" s="212">
        <f t="shared" si="5"/>
        <v>-100</v>
      </c>
      <c r="W13" s="211">
        <f t="shared" si="6"/>
        <v>0</v>
      </c>
      <c r="X13" s="211"/>
      <c r="Y13" s="455"/>
      <c r="Z13" s="3"/>
      <c r="AA13" s="3"/>
      <c r="AB13" s="8"/>
    </row>
    <row r="14" spans="1:28" ht="12.75" customHeight="1" hidden="1">
      <c r="A14" s="1"/>
      <c r="B14" s="40" t="s">
        <v>90</v>
      </c>
      <c r="C14" s="31" t="s">
        <v>4</v>
      </c>
      <c r="D14" s="214"/>
      <c r="E14" s="215"/>
      <c r="F14" s="214"/>
      <c r="G14" s="386"/>
      <c r="H14" s="98"/>
      <c r="I14" s="98"/>
      <c r="J14" s="386"/>
      <c r="K14" s="91">
        <f t="shared" si="0"/>
        <v>-100</v>
      </c>
      <c r="L14" s="213"/>
      <c r="M14" s="90">
        <f t="shared" si="1"/>
        <v>-100</v>
      </c>
      <c r="N14" s="91">
        <f t="shared" si="2"/>
        <v>0</v>
      </c>
      <c r="O14" s="92"/>
      <c r="P14" s="213"/>
      <c r="Q14" s="211">
        <f t="shared" si="3"/>
        <v>-100</v>
      </c>
      <c r="R14" s="425"/>
      <c r="S14" s="213"/>
      <c r="T14" s="420"/>
      <c r="U14" s="212">
        <f t="shared" si="4"/>
        <v>-100</v>
      </c>
      <c r="V14" s="212">
        <f t="shared" si="5"/>
        <v>-100</v>
      </c>
      <c r="W14" s="211">
        <f t="shared" si="6"/>
        <v>0</v>
      </c>
      <c r="X14" s="211"/>
      <c r="Y14" s="216"/>
      <c r="Z14" s="3"/>
      <c r="AA14" s="3"/>
      <c r="AB14" s="8"/>
    </row>
    <row r="15" spans="1:28" ht="12.75" customHeight="1" hidden="1">
      <c r="A15" s="1"/>
      <c r="B15" s="40" t="s">
        <v>91</v>
      </c>
      <c r="C15" s="31" t="s">
        <v>4</v>
      </c>
      <c r="D15" s="214"/>
      <c r="E15" s="215"/>
      <c r="F15" s="214"/>
      <c r="G15" s="386"/>
      <c r="H15" s="98"/>
      <c r="I15" s="98"/>
      <c r="J15" s="386"/>
      <c r="K15" s="91">
        <f t="shared" si="0"/>
        <v>-100</v>
      </c>
      <c r="L15" s="213"/>
      <c r="M15" s="90">
        <f t="shared" si="1"/>
        <v>-100</v>
      </c>
      <c r="N15" s="91">
        <f t="shared" si="2"/>
        <v>0</v>
      </c>
      <c r="O15" s="92"/>
      <c r="P15" s="213"/>
      <c r="Q15" s="211">
        <f t="shared" si="3"/>
        <v>-100</v>
      </c>
      <c r="R15" s="425"/>
      <c r="S15" s="213"/>
      <c r="T15" s="420"/>
      <c r="U15" s="212">
        <f t="shared" si="4"/>
        <v>-100</v>
      </c>
      <c r="V15" s="212">
        <f t="shared" si="5"/>
        <v>-100</v>
      </c>
      <c r="W15" s="211">
        <f t="shared" si="6"/>
        <v>0</v>
      </c>
      <c r="X15" s="211"/>
      <c r="Y15" s="216"/>
      <c r="Z15" s="3"/>
      <c r="AA15" s="3"/>
      <c r="AB15" s="8"/>
    </row>
    <row r="16" spans="1:28" ht="12.75" customHeight="1" hidden="1">
      <c r="A16" s="1"/>
      <c r="B16" s="40" t="s">
        <v>92</v>
      </c>
      <c r="C16" s="31" t="s">
        <v>4</v>
      </c>
      <c r="D16" s="214"/>
      <c r="E16" s="215"/>
      <c r="F16" s="214"/>
      <c r="G16" s="386"/>
      <c r="H16" s="98"/>
      <c r="I16" s="98"/>
      <c r="J16" s="386"/>
      <c r="K16" s="91">
        <f t="shared" si="0"/>
        <v>-100</v>
      </c>
      <c r="L16" s="213"/>
      <c r="M16" s="90">
        <f t="shared" si="1"/>
        <v>-100</v>
      </c>
      <c r="N16" s="91">
        <f t="shared" si="2"/>
        <v>0</v>
      </c>
      <c r="O16" s="92"/>
      <c r="P16" s="213"/>
      <c r="Q16" s="211">
        <f t="shared" si="3"/>
        <v>-100</v>
      </c>
      <c r="R16" s="425"/>
      <c r="S16" s="213"/>
      <c r="T16" s="420"/>
      <c r="U16" s="212">
        <f t="shared" si="4"/>
        <v>-100</v>
      </c>
      <c r="V16" s="212">
        <f t="shared" si="5"/>
        <v>-100</v>
      </c>
      <c r="W16" s="211">
        <f t="shared" si="6"/>
        <v>0</v>
      </c>
      <c r="X16" s="211"/>
      <c r="Y16" s="216"/>
      <c r="Z16" s="3"/>
      <c r="AA16" s="3"/>
      <c r="AB16" s="8"/>
    </row>
    <row r="17" spans="1:28" ht="12.75" customHeight="1" hidden="1">
      <c r="A17" s="1"/>
      <c r="B17" s="40" t="s">
        <v>102</v>
      </c>
      <c r="C17" s="31" t="s">
        <v>4</v>
      </c>
      <c r="D17" s="214"/>
      <c r="E17" s="215"/>
      <c r="F17" s="214"/>
      <c r="G17" s="386"/>
      <c r="H17" s="98"/>
      <c r="I17" s="98"/>
      <c r="J17" s="386"/>
      <c r="K17" s="91">
        <f t="shared" si="0"/>
        <v>-100</v>
      </c>
      <c r="L17" s="213"/>
      <c r="M17" s="90">
        <f t="shared" si="1"/>
        <v>-100</v>
      </c>
      <c r="N17" s="91">
        <f t="shared" si="2"/>
        <v>0</v>
      </c>
      <c r="O17" s="92"/>
      <c r="P17" s="213"/>
      <c r="Q17" s="211">
        <f t="shared" si="3"/>
        <v>-100</v>
      </c>
      <c r="R17" s="425"/>
      <c r="S17" s="213"/>
      <c r="T17" s="420"/>
      <c r="U17" s="212">
        <f t="shared" si="4"/>
        <v>-100</v>
      </c>
      <c r="V17" s="212">
        <f t="shared" si="5"/>
        <v>-100</v>
      </c>
      <c r="W17" s="211">
        <f t="shared" si="6"/>
        <v>0</v>
      </c>
      <c r="X17" s="211"/>
      <c r="Y17" s="216"/>
      <c r="Z17" s="3"/>
      <c r="AA17" s="3"/>
      <c r="AB17" s="8"/>
    </row>
    <row r="18" spans="1:28" ht="12.75" customHeight="1">
      <c r="A18" s="51">
        <v>2</v>
      </c>
      <c r="B18" s="40" t="s">
        <v>26</v>
      </c>
      <c r="C18" s="31" t="s">
        <v>4</v>
      </c>
      <c r="D18" s="208"/>
      <c r="E18" s="215"/>
      <c r="F18" s="214">
        <v>5993.81</v>
      </c>
      <c r="G18" s="386">
        <v>506.4</v>
      </c>
      <c r="H18" s="100">
        <v>383.36</v>
      </c>
      <c r="I18" s="100">
        <v>506.4</v>
      </c>
      <c r="J18" s="386">
        <v>506.4</v>
      </c>
      <c r="K18" s="91">
        <f t="shared" si="0"/>
        <v>32.1</v>
      </c>
      <c r="L18" s="210"/>
      <c r="M18" s="90">
        <f t="shared" si="1"/>
        <v>-100</v>
      </c>
      <c r="N18" s="91">
        <f t="shared" si="2"/>
        <v>-506.4</v>
      </c>
      <c r="O18" s="92"/>
      <c r="P18" s="210">
        <f>P10-P21</f>
        <v>383.36</v>
      </c>
      <c r="Q18" s="211">
        <f t="shared" si="3"/>
        <v>0</v>
      </c>
      <c r="R18" s="425"/>
      <c r="S18" s="210">
        <f>H18</f>
        <v>383.36</v>
      </c>
      <c r="T18" s="419"/>
      <c r="U18" s="212">
        <f t="shared" si="4"/>
        <v>0</v>
      </c>
      <c r="V18" s="212">
        <f t="shared" si="5"/>
        <v>0</v>
      </c>
      <c r="W18" s="211">
        <f t="shared" si="6"/>
        <v>-123</v>
      </c>
      <c r="X18" s="211"/>
      <c r="Y18" s="216"/>
      <c r="Z18" s="3"/>
      <c r="AA18" s="3"/>
      <c r="AB18" s="8"/>
    </row>
    <row r="19" spans="1:28" ht="12.75" customHeight="1">
      <c r="A19" s="1"/>
      <c r="B19" s="40" t="s">
        <v>26</v>
      </c>
      <c r="C19" s="31" t="s">
        <v>5</v>
      </c>
      <c r="D19" s="217">
        <f>D18/(D9+1E-124)*100</f>
        <v>0</v>
      </c>
      <c r="E19" s="218">
        <f>E18/(E9+1E-124)*100</f>
        <v>0</v>
      </c>
      <c r="F19" s="217">
        <v>3.09</v>
      </c>
      <c r="G19" s="218">
        <v>3.1</v>
      </c>
      <c r="H19" s="220">
        <f>H18/(H9+1E-124)*100</f>
        <v>3</v>
      </c>
      <c r="I19" s="220">
        <f>I18/(I9+1E-124)*100</f>
        <v>3.1</v>
      </c>
      <c r="J19" s="218">
        <v>3.1</v>
      </c>
      <c r="K19" s="91">
        <f t="shared" si="0"/>
        <v>3.33</v>
      </c>
      <c r="L19" s="220">
        <f>L18/(L9+1E-124)*100</f>
        <v>0</v>
      </c>
      <c r="M19" s="90"/>
      <c r="N19" s="91"/>
      <c r="O19" s="92"/>
      <c r="P19" s="220">
        <f>P18/(P9+1E-124)*100</f>
        <v>3</v>
      </c>
      <c r="Q19" s="211">
        <f t="shared" si="3"/>
        <v>0</v>
      </c>
      <c r="R19" s="425"/>
      <c r="S19" s="220">
        <f>S18/(S9+1E-124)*100</f>
        <v>3</v>
      </c>
      <c r="T19" s="421"/>
      <c r="U19" s="212">
        <f t="shared" si="4"/>
        <v>0</v>
      </c>
      <c r="V19" s="212">
        <f t="shared" si="5"/>
        <v>0</v>
      </c>
      <c r="W19" s="211">
        <f t="shared" si="6"/>
        <v>-0.1</v>
      </c>
      <c r="X19" s="211"/>
      <c r="Y19" s="216"/>
      <c r="AA19" s="7"/>
      <c r="AB19" s="9"/>
    </row>
    <row r="20" spans="1:28" ht="25.5" customHeight="1" hidden="1">
      <c r="A20" s="51">
        <v>3</v>
      </c>
      <c r="B20" s="39" t="s">
        <v>112</v>
      </c>
      <c r="C20" s="52" t="s">
        <v>4</v>
      </c>
      <c r="D20" s="221"/>
      <c r="E20" s="222"/>
      <c r="F20" s="221"/>
      <c r="G20" s="222"/>
      <c r="H20" s="145"/>
      <c r="I20" s="145"/>
      <c r="J20" s="222"/>
      <c r="K20" s="89">
        <f t="shared" si="0"/>
        <v>-100</v>
      </c>
      <c r="L20" s="223"/>
      <c r="M20" s="88">
        <f>L20/(H20+1E-106)*100-100</f>
        <v>-100</v>
      </c>
      <c r="N20" s="89">
        <f>L20-J20</f>
        <v>0</v>
      </c>
      <c r="O20" s="86"/>
      <c r="P20" s="223"/>
      <c r="Q20" s="211">
        <f t="shared" si="3"/>
        <v>-100</v>
      </c>
      <c r="R20" s="425"/>
      <c r="S20" s="223"/>
      <c r="T20" s="422"/>
      <c r="U20" s="206">
        <f t="shared" si="4"/>
        <v>-100</v>
      </c>
      <c r="V20" s="206">
        <f t="shared" si="5"/>
        <v>-100</v>
      </c>
      <c r="W20" s="207">
        <f t="shared" si="6"/>
        <v>0</v>
      </c>
      <c r="X20" s="211"/>
      <c r="Y20" s="216"/>
      <c r="AA20" s="7"/>
      <c r="AB20" s="9"/>
    </row>
    <row r="21" spans="1:28" ht="12.75" customHeight="1">
      <c r="A21" s="51">
        <v>4</v>
      </c>
      <c r="B21" s="39" t="s">
        <v>31</v>
      </c>
      <c r="C21" s="52" t="s">
        <v>4</v>
      </c>
      <c r="D21" s="202">
        <f>D9-D18+D20</f>
        <v>0</v>
      </c>
      <c r="E21" s="203">
        <f>E9-E18+E20</f>
        <v>0</v>
      </c>
      <c r="F21" s="202">
        <v>188177.2</v>
      </c>
      <c r="G21" s="227">
        <v>15825.6</v>
      </c>
      <c r="H21" s="145">
        <f>H22+H24</f>
        <v>12379.52</v>
      </c>
      <c r="I21" s="145">
        <v>15825.6</v>
      </c>
      <c r="J21" s="227">
        <v>15825.6</v>
      </c>
      <c r="K21" s="89">
        <f t="shared" si="0"/>
        <v>27.84</v>
      </c>
      <c r="L21" s="204">
        <f>L9-L18+L20</f>
        <v>0</v>
      </c>
      <c r="M21" s="88">
        <f>L21/(H21+1E-106)*100-100</f>
        <v>-100</v>
      </c>
      <c r="N21" s="89">
        <f>L21-J21</f>
        <v>-15825.6</v>
      </c>
      <c r="O21" s="86"/>
      <c r="P21" s="204">
        <f>P22+P24</f>
        <v>12379.52</v>
      </c>
      <c r="Q21" s="211">
        <f t="shared" si="3"/>
        <v>0</v>
      </c>
      <c r="R21" s="425"/>
      <c r="S21" s="204">
        <f>S9-S18+S20</f>
        <v>12379.52</v>
      </c>
      <c r="T21" s="418"/>
      <c r="U21" s="206">
        <f t="shared" si="4"/>
        <v>0</v>
      </c>
      <c r="V21" s="206">
        <f t="shared" si="5"/>
        <v>0</v>
      </c>
      <c r="W21" s="207">
        <f t="shared" si="6"/>
        <v>-3446.1</v>
      </c>
      <c r="X21" s="206"/>
      <c r="Y21" s="453" t="s">
        <v>232</v>
      </c>
      <c r="Z21" s="224"/>
      <c r="AA21" s="7"/>
      <c r="AB21" s="9"/>
    </row>
    <row r="22" spans="1:28" ht="12.75" customHeight="1">
      <c r="A22" s="51">
        <v>5</v>
      </c>
      <c r="B22" s="40" t="s">
        <v>32</v>
      </c>
      <c r="C22" s="31" t="s">
        <v>4</v>
      </c>
      <c r="D22" s="217">
        <f>D21-D24</f>
        <v>0</v>
      </c>
      <c r="E22" s="225">
        <f>E21-E24</f>
        <v>-11804.5</v>
      </c>
      <c r="F22" s="217">
        <v>18377.62</v>
      </c>
      <c r="G22" s="218">
        <v>4021.5</v>
      </c>
      <c r="H22" s="100">
        <v>1213.23</v>
      </c>
      <c r="I22" s="100">
        <v>4021.5</v>
      </c>
      <c r="J22" s="218">
        <v>4021.5</v>
      </c>
      <c r="K22" s="91">
        <f t="shared" si="0"/>
        <v>231.47</v>
      </c>
      <c r="L22" s="210">
        <v>0</v>
      </c>
      <c r="M22" s="90">
        <f>L22/(H22+1E-106)*100-100</f>
        <v>-100</v>
      </c>
      <c r="N22" s="91">
        <f>L22-J22</f>
        <v>-4021.5</v>
      </c>
      <c r="O22" s="92"/>
      <c r="P22" s="210">
        <f>H22</f>
        <v>1213.23</v>
      </c>
      <c r="Q22" s="211">
        <f t="shared" si="3"/>
        <v>0</v>
      </c>
      <c r="R22" s="425"/>
      <c r="S22" s="210">
        <f>P22</f>
        <v>1213.23</v>
      </c>
      <c r="T22" s="419"/>
      <c r="U22" s="212">
        <f t="shared" si="4"/>
        <v>0</v>
      </c>
      <c r="V22" s="212">
        <f t="shared" si="5"/>
        <v>0</v>
      </c>
      <c r="W22" s="211">
        <f t="shared" si="6"/>
        <v>-2808.3</v>
      </c>
      <c r="X22" s="211"/>
      <c r="Y22" s="454"/>
      <c r="AA22" s="7"/>
      <c r="AB22" s="9"/>
    </row>
    <row r="23" spans="1:28" ht="12.75" customHeight="1">
      <c r="A23" s="1"/>
      <c r="B23" s="40" t="s">
        <v>32</v>
      </c>
      <c r="C23" s="31" t="s">
        <v>5</v>
      </c>
      <c r="D23" s="217">
        <f>D22/(D21+1E-144)*100</f>
        <v>0</v>
      </c>
      <c r="E23" s="218">
        <f>E22/(E21+1E-144)*100</f>
        <v>-1.18045E+150</v>
      </c>
      <c r="F23" s="217">
        <v>9.77</v>
      </c>
      <c r="G23" s="218">
        <v>25.4</v>
      </c>
      <c r="H23" s="220">
        <f>H22/(H21+1E-144)*100</f>
        <v>9.8</v>
      </c>
      <c r="I23" s="220">
        <v>25.4</v>
      </c>
      <c r="J23" s="218">
        <v>25.4</v>
      </c>
      <c r="K23" s="91">
        <f t="shared" si="0"/>
        <v>159.18</v>
      </c>
      <c r="L23" s="220"/>
      <c r="M23" s="90"/>
      <c r="N23" s="91"/>
      <c r="O23" s="92"/>
      <c r="P23" s="220">
        <f>P22/(P21+1E-144)*100</f>
        <v>9.8</v>
      </c>
      <c r="Q23" s="211">
        <f t="shared" si="3"/>
        <v>0</v>
      </c>
      <c r="R23" s="425"/>
      <c r="S23" s="220">
        <f>S22/(S21+1E-144)*100</f>
        <v>9.8</v>
      </c>
      <c r="T23" s="421"/>
      <c r="U23" s="212">
        <f t="shared" si="4"/>
        <v>0</v>
      </c>
      <c r="V23" s="212">
        <f t="shared" si="5"/>
        <v>0</v>
      </c>
      <c r="W23" s="211">
        <f t="shared" si="6"/>
        <v>-15.6</v>
      </c>
      <c r="X23" s="211"/>
      <c r="Y23" s="454"/>
      <c r="AA23" s="7"/>
      <c r="AB23" s="9"/>
    </row>
    <row r="24" spans="1:28" ht="16.5" customHeight="1">
      <c r="A24" s="51">
        <v>6</v>
      </c>
      <c r="B24" s="39" t="s">
        <v>6</v>
      </c>
      <c r="C24" s="52" t="s">
        <v>4</v>
      </c>
      <c r="D24" s="221"/>
      <c r="E24" s="227">
        <f>C217</f>
        <v>11804.5</v>
      </c>
      <c r="F24" s="202">
        <v>169799.58</v>
      </c>
      <c r="G24" s="255">
        <v>11166.29</v>
      </c>
      <c r="H24" s="146">
        <f>I24</f>
        <v>11166.29</v>
      </c>
      <c r="I24" s="146">
        <v>11166.29</v>
      </c>
      <c r="J24" s="255">
        <v>11166.29</v>
      </c>
      <c r="K24" s="89">
        <f t="shared" si="0"/>
        <v>0</v>
      </c>
      <c r="L24" s="228" t="e">
        <f>#REF!</f>
        <v>#REF!</v>
      </c>
      <c r="M24" s="88" t="e">
        <f>L24/(H24+1E-106)*100-100</f>
        <v>#REF!</v>
      </c>
      <c r="N24" s="89" t="e">
        <f>L24-J24</f>
        <v>#REF!</v>
      </c>
      <c r="O24" s="86"/>
      <c r="P24" s="229">
        <f>H24</f>
        <v>11166.29</v>
      </c>
      <c r="Q24" s="205">
        <f t="shared" si="3"/>
        <v>0</v>
      </c>
      <c r="R24" s="423">
        <v>11166.29</v>
      </c>
      <c r="S24" s="229">
        <f>P24</f>
        <v>11166.29</v>
      </c>
      <c r="T24" s="423">
        <v>11166.29</v>
      </c>
      <c r="U24" s="206">
        <f t="shared" si="4"/>
        <v>0</v>
      </c>
      <c r="V24" s="206">
        <f t="shared" si="5"/>
        <v>0</v>
      </c>
      <c r="W24" s="207">
        <f t="shared" si="6"/>
        <v>0</v>
      </c>
      <c r="X24" s="206"/>
      <c r="Y24" s="454"/>
      <c r="AA24" s="7"/>
      <c r="AB24" s="9"/>
    </row>
    <row r="25" spans="1:28" ht="12" customHeight="1">
      <c r="A25" s="51">
        <v>7</v>
      </c>
      <c r="B25" s="39" t="s">
        <v>7</v>
      </c>
      <c r="C25" s="31"/>
      <c r="D25" s="230"/>
      <c r="E25" s="231"/>
      <c r="F25" s="230"/>
      <c r="G25" s="231"/>
      <c r="H25" s="97"/>
      <c r="I25" s="97"/>
      <c r="J25" s="233"/>
      <c r="K25" s="90"/>
      <c r="L25" s="232"/>
      <c r="M25" s="90"/>
      <c r="N25" s="91"/>
      <c r="O25" s="92"/>
      <c r="P25" s="234"/>
      <c r="Q25" s="211"/>
      <c r="R25" s="425"/>
      <c r="S25" s="234"/>
      <c r="T25" s="424"/>
      <c r="U25" s="206"/>
      <c r="V25" s="206"/>
      <c r="W25" s="207"/>
      <c r="X25" s="211"/>
      <c r="Y25" s="216"/>
      <c r="AA25" s="7"/>
      <c r="AB25" s="9"/>
    </row>
    <row r="26" spans="1:28" ht="12" customHeight="1">
      <c r="A26" s="1" t="s">
        <v>62</v>
      </c>
      <c r="B26" s="39" t="s">
        <v>76</v>
      </c>
      <c r="C26" s="31"/>
      <c r="D26" s="230"/>
      <c r="E26" s="231"/>
      <c r="F26" s="230"/>
      <c r="G26" s="231"/>
      <c r="H26" s="97"/>
      <c r="I26" s="97"/>
      <c r="J26" s="233"/>
      <c r="K26" s="90"/>
      <c r="L26" s="232"/>
      <c r="M26" s="90"/>
      <c r="N26" s="91"/>
      <c r="O26" s="92"/>
      <c r="P26" s="235"/>
      <c r="Q26" s="211"/>
      <c r="R26" s="425"/>
      <c r="S26" s="235"/>
      <c r="T26" s="425"/>
      <c r="U26" s="206"/>
      <c r="V26" s="206"/>
      <c r="W26" s="207"/>
      <c r="X26" s="211"/>
      <c r="Y26" s="216"/>
      <c r="AA26" s="7"/>
      <c r="AB26" s="9"/>
    </row>
    <row r="27" spans="1:28" ht="12" customHeight="1">
      <c r="A27" s="1"/>
      <c r="B27" s="41" t="s">
        <v>49</v>
      </c>
      <c r="C27" s="31" t="s">
        <v>73</v>
      </c>
      <c r="D27" s="213"/>
      <c r="E27" s="225">
        <f>E29*1000*E28/(E10+1E-94)</f>
        <v>0</v>
      </c>
      <c r="F27" s="217">
        <v>163.3</v>
      </c>
      <c r="G27" s="219">
        <v>160.38</v>
      </c>
      <c r="H27" s="100">
        <f>I27</f>
        <v>160.38</v>
      </c>
      <c r="I27" s="100">
        <f>I29*I28/I9*1000</f>
        <v>160.38</v>
      </c>
      <c r="J27" s="365">
        <f>G27</f>
        <v>160.38</v>
      </c>
      <c r="K27" s="236">
        <f>J27/(H27+1E-133)*100-100</f>
        <v>0</v>
      </c>
      <c r="L27" s="210"/>
      <c r="M27" s="236">
        <f>L27/(H27+1E-106)*100-100</f>
        <v>-100</v>
      </c>
      <c r="N27" s="236">
        <f>L27-J27</f>
        <v>-160.38</v>
      </c>
      <c r="O27" s="237"/>
      <c r="P27" s="238">
        <f>H27</f>
        <v>160.38</v>
      </c>
      <c r="Q27" s="239">
        <f>P27/(H27+1E-106)*100-100</f>
        <v>0</v>
      </c>
      <c r="R27" s="426">
        <v>160.38</v>
      </c>
      <c r="S27" s="238">
        <f>P27</f>
        <v>160.38</v>
      </c>
      <c r="T27" s="426">
        <v>160.38</v>
      </c>
      <c r="U27" s="239">
        <f>S27/(P27+1E-106)*100-100</f>
        <v>0</v>
      </c>
      <c r="V27" s="239">
        <f>S27/(H27+1E-106)*100-100</f>
        <v>0</v>
      </c>
      <c r="W27" s="239">
        <f>S27-J27</f>
        <v>0</v>
      </c>
      <c r="X27" s="211"/>
      <c r="Y27" s="216"/>
      <c r="AA27" s="7"/>
      <c r="AB27" s="9"/>
    </row>
    <row r="28" spans="1:28" ht="12" customHeight="1">
      <c r="A28" s="1"/>
      <c r="B28" s="41" t="s">
        <v>93</v>
      </c>
      <c r="C28" s="42"/>
      <c r="D28" s="240"/>
      <c r="E28" s="241"/>
      <c r="F28" s="240">
        <v>1.129</v>
      </c>
      <c r="G28" s="387">
        <v>1.129</v>
      </c>
      <c r="H28" s="104">
        <v>1.129</v>
      </c>
      <c r="I28" s="104">
        <v>1.129</v>
      </c>
      <c r="J28" s="367">
        <v>1.129</v>
      </c>
      <c r="K28" s="241">
        <f>J28/(H28+1E-133)*100-100</f>
        <v>0</v>
      </c>
      <c r="L28" s="242"/>
      <c r="M28" s="241"/>
      <c r="N28" s="241"/>
      <c r="O28" s="243"/>
      <c r="P28" s="244">
        <f>H28</f>
        <v>1.129</v>
      </c>
      <c r="Q28" s="245">
        <f>P28/(H28+1E-106)*100-100</f>
        <v>0</v>
      </c>
      <c r="R28" s="427">
        <v>1.129</v>
      </c>
      <c r="S28" s="244">
        <f>P28</f>
        <v>1.129</v>
      </c>
      <c r="T28" s="427">
        <v>1.129</v>
      </c>
      <c r="U28" s="239">
        <f>S28/(P28+1E-106)*100-100</f>
        <v>0</v>
      </c>
      <c r="V28" s="239">
        <f>S28/(H28+1E-106)*100-100</f>
        <v>0</v>
      </c>
      <c r="W28" s="239">
        <f>S28-J28</f>
        <v>0</v>
      </c>
      <c r="X28" s="245"/>
      <c r="Y28" s="246"/>
      <c r="AA28" s="7"/>
      <c r="AB28" s="9"/>
    </row>
    <row r="29" spans="1:28" ht="12" customHeight="1">
      <c r="A29" s="1"/>
      <c r="B29" s="40" t="s">
        <v>50</v>
      </c>
      <c r="C29" s="31" t="s">
        <v>80</v>
      </c>
      <c r="D29" s="217">
        <f>D27/(D28+1E-97)*D10/1000</f>
        <v>0</v>
      </c>
      <c r="E29" s="215"/>
      <c r="F29" s="214">
        <v>26999.9</v>
      </c>
      <c r="G29" s="386">
        <v>2320</v>
      </c>
      <c r="H29" s="238">
        <f>H27/(H28+1E-97)*H10/1000</f>
        <v>1813.03</v>
      </c>
      <c r="I29" s="238">
        <v>2320</v>
      </c>
      <c r="J29" s="368">
        <f>J27/(J28+1E-97)*J10/1000</f>
        <v>2320.04</v>
      </c>
      <c r="K29" s="236">
        <f>J29/(H29+1E-133)*100-100</f>
        <v>27.96</v>
      </c>
      <c r="L29" s="220">
        <f>L27/(L28+1E-97)*L10/1000</f>
        <v>0</v>
      </c>
      <c r="M29" s="236">
        <f>L29/(H29+1E-106)*100-100</f>
        <v>-100</v>
      </c>
      <c r="N29" s="236">
        <f>L29-J29</f>
        <v>-2320.04</v>
      </c>
      <c r="O29" s="237"/>
      <c r="P29" s="238">
        <f>P27/(P28+1E-97)*P10/1000</f>
        <v>1813.03</v>
      </c>
      <c r="Q29" s="239">
        <f>P29/(H29+1E-106)*100-100</f>
        <v>0</v>
      </c>
      <c r="R29" s="426">
        <f>R27/(R28+1E-97)*R10/1000</f>
        <v>1813.03</v>
      </c>
      <c r="S29" s="238">
        <f>S27/(S28+1E-97)*S10/1000</f>
        <v>1813.03</v>
      </c>
      <c r="T29" s="426">
        <f>T27/(T28+1E-97)*T10/1000</f>
        <v>1813.03</v>
      </c>
      <c r="U29" s="239">
        <f>S29/(P29+1E-106)*100-100</f>
        <v>0</v>
      </c>
      <c r="V29" s="239">
        <f>S29/(H29+1E-106)*100-100</f>
        <v>0</v>
      </c>
      <c r="W29" s="239">
        <f>S29-J29</f>
        <v>-507.01</v>
      </c>
      <c r="X29" s="245"/>
      <c r="Y29" s="522" t="s">
        <v>230</v>
      </c>
      <c r="AA29" s="7"/>
      <c r="AB29" s="9"/>
    </row>
    <row r="30" spans="1:28" s="250" customFormat="1" ht="12" customHeight="1">
      <c r="A30" s="51"/>
      <c r="B30" s="39" t="s">
        <v>30</v>
      </c>
      <c r="C30" s="52" t="s">
        <v>81</v>
      </c>
      <c r="D30" s="247"/>
      <c r="E30" s="248">
        <f>E133/(E29+1E-103)*1000</f>
        <v>0</v>
      </c>
      <c r="F30" s="204">
        <v>2999.62</v>
      </c>
      <c r="G30" s="255">
        <v>3074.47</v>
      </c>
      <c r="H30" s="126">
        <f>(386.97+2637+50.5)</f>
        <v>3074.47</v>
      </c>
      <c r="I30" s="126">
        <f>(386.97+2637+50.5)</f>
        <v>3074.47</v>
      </c>
      <c r="J30" s="144">
        <f>(386.97+2637+50.5)*1.15</f>
        <v>3535.64</v>
      </c>
      <c r="K30" s="249">
        <f>J30/(H30+1E-133)*100-100</f>
        <v>15</v>
      </c>
      <c r="L30" s="247"/>
      <c r="M30" s="249">
        <f>L30/(H30+1E-106)*100-100</f>
        <v>-100</v>
      </c>
      <c r="N30" s="249">
        <f>L30-J30</f>
        <v>-3535.64</v>
      </c>
      <c r="O30" s="248"/>
      <c r="P30" s="229">
        <v>3405.39</v>
      </c>
      <c r="Q30" s="205">
        <f>P30/(H30+1E-106)*100-100</f>
        <v>10.76</v>
      </c>
      <c r="R30" s="423">
        <f>P30*1.18</f>
        <v>4018.36</v>
      </c>
      <c r="S30" s="126">
        <f>(386.97+2637+50.5)*1.15</f>
        <v>3535.64</v>
      </c>
      <c r="T30" s="428">
        <f>S30*1.18</f>
        <v>4172.06</v>
      </c>
      <c r="U30" s="205">
        <f>S30/(P30+1E-106)*100-100</f>
        <v>3.82</v>
      </c>
      <c r="V30" s="205">
        <f>S30/(H30+1E-106)*100-100</f>
        <v>15</v>
      </c>
      <c r="W30" s="205">
        <f>S30-J30</f>
        <v>0</v>
      </c>
      <c r="X30" s="207"/>
      <c r="Y30" s="523"/>
      <c r="AB30" s="251"/>
    </row>
    <row r="31" spans="1:28" ht="12" customHeight="1">
      <c r="A31" s="1"/>
      <c r="B31" s="43" t="s">
        <v>77</v>
      </c>
      <c r="C31" s="31" t="s">
        <v>81</v>
      </c>
      <c r="D31" s="214"/>
      <c r="E31" s="215"/>
      <c r="F31" s="214">
        <v>321.9</v>
      </c>
      <c r="G31" s="386">
        <v>386.97</v>
      </c>
      <c r="H31" s="98">
        <f>(386.97)</f>
        <v>386.97</v>
      </c>
      <c r="I31" s="98">
        <f>H31</f>
        <v>386.97</v>
      </c>
      <c r="J31" s="252">
        <f>S31</f>
        <v>445.02</v>
      </c>
      <c r="K31" s="236">
        <f>J31/(H31+1E-133)*100-100</f>
        <v>15</v>
      </c>
      <c r="L31" s="213"/>
      <c r="M31" s="236">
        <f>L31/(H31+1E-106)*100-100</f>
        <v>-100</v>
      </c>
      <c r="N31" s="236">
        <f>L31-J31</f>
        <v>-445.02</v>
      </c>
      <c r="O31" s="237"/>
      <c r="P31" s="229">
        <f>386.97*1.15</f>
        <v>445.02</v>
      </c>
      <c r="Q31" s="239">
        <f>P31/(H31+1E-106)*100-100</f>
        <v>15</v>
      </c>
      <c r="R31" s="426">
        <v>445.02</v>
      </c>
      <c r="S31" s="229">
        <f>P31</f>
        <v>445.02</v>
      </c>
      <c r="T31" s="423">
        <v>445.02</v>
      </c>
      <c r="U31" s="239">
        <f>S31/(P31+1E-106)*100-100</f>
        <v>0</v>
      </c>
      <c r="V31" s="239">
        <f>S31/(H31+1E-106)*100-100</f>
        <v>15</v>
      </c>
      <c r="W31" s="239">
        <f>S31-J31</f>
        <v>0</v>
      </c>
      <c r="X31" s="211"/>
      <c r="Y31" s="253"/>
      <c r="AA31" s="7"/>
      <c r="AB31" s="9"/>
    </row>
    <row r="32" spans="1:28" ht="12" customHeight="1" hidden="1">
      <c r="A32" s="1" t="s">
        <v>62</v>
      </c>
      <c r="B32" s="39" t="s">
        <v>75</v>
      </c>
      <c r="C32" s="31"/>
      <c r="D32" s="217"/>
      <c r="E32" s="218"/>
      <c r="F32" s="217"/>
      <c r="G32" s="218"/>
      <c r="H32" s="94"/>
      <c r="I32" s="94"/>
      <c r="J32" s="226"/>
      <c r="K32" s="236"/>
      <c r="L32" s="220"/>
      <c r="M32" s="236"/>
      <c r="N32" s="236"/>
      <c r="O32" s="237"/>
      <c r="P32" s="238"/>
      <c r="Q32" s="239"/>
      <c r="R32" s="426"/>
      <c r="S32" s="238"/>
      <c r="T32" s="426"/>
      <c r="U32" s="239"/>
      <c r="V32" s="239"/>
      <c r="W32" s="239"/>
      <c r="X32" s="211"/>
      <c r="Y32" s="161"/>
      <c r="AA32" s="7"/>
      <c r="AB32" s="9"/>
    </row>
    <row r="33" spans="1:28" ht="12" customHeight="1" hidden="1">
      <c r="A33" s="1"/>
      <c r="B33" s="41" t="s">
        <v>49</v>
      </c>
      <c r="C33" s="31" t="s">
        <v>73</v>
      </c>
      <c r="D33" s="214"/>
      <c r="E33" s="225">
        <f>E35*1000*E34/(E11+1E-99)</f>
        <v>0</v>
      </c>
      <c r="F33" s="217">
        <v>220</v>
      </c>
      <c r="G33" s="218"/>
      <c r="H33" s="358">
        <v>0</v>
      </c>
      <c r="I33" s="358"/>
      <c r="J33" s="365"/>
      <c r="K33" s="236">
        <f>J33/(H33+1E-133)*100-100</f>
        <v>-100</v>
      </c>
      <c r="L33" s="213"/>
      <c r="M33" s="236">
        <f>L33/(H33+1E-106)*100-100</f>
        <v>-100</v>
      </c>
      <c r="N33" s="236">
        <f>L33-J33</f>
        <v>0</v>
      </c>
      <c r="O33" s="237"/>
      <c r="P33" s="238"/>
      <c r="Q33" s="239">
        <f>P33/(H33+1E-106)*100-100</f>
        <v>-100</v>
      </c>
      <c r="R33" s="426"/>
      <c r="S33" s="238"/>
      <c r="T33" s="426"/>
      <c r="U33" s="239">
        <f>S33/(P33+1E-106)*100-100</f>
        <v>-100</v>
      </c>
      <c r="V33" s="239">
        <f>S33/(H33+1E-106)*100-100</f>
        <v>-100</v>
      </c>
      <c r="W33" s="239">
        <f>S33-J33</f>
        <v>0</v>
      </c>
      <c r="X33" s="211"/>
      <c r="Y33" s="161"/>
      <c r="AA33" s="7"/>
      <c r="AB33" s="9"/>
    </row>
    <row r="34" spans="1:28" ht="12" customHeight="1" hidden="1">
      <c r="A34" s="1"/>
      <c r="B34" s="41" t="s">
        <v>93</v>
      </c>
      <c r="C34" s="31"/>
      <c r="D34" s="214"/>
      <c r="E34" s="215"/>
      <c r="F34" s="214">
        <v>0.61</v>
      </c>
      <c r="G34" s="386"/>
      <c r="H34" s="102"/>
      <c r="I34" s="102"/>
      <c r="J34" s="365"/>
      <c r="K34" s="236"/>
      <c r="L34" s="213"/>
      <c r="M34" s="236"/>
      <c r="N34" s="236"/>
      <c r="O34" s="237"/>
      <c r="P34" s="238"/>
      <c r="Q34" s="239">
        <f>P34/(H34+1E-106)*100-100</f>
        <v>-100</v>
      </c>
      <c r="R34" s="426"/>
      <c r="S34" s="238"/>
      <c r="T34" s="426"/>
      <c r="U34" s="239">
        <f>S34/(P34+1E-106)*100-100</f>
        <v>-100</v>
      </c>
      <c r="V34" s="239">
        <f>S34/(H34+1E-106)*100-100</f>
        <v>-100</v>
      </c>
      <c r="W34" s="239">
        <f>S34-J34</f>
        <v>0</v>
      </c>
      <c r="X34" s="211"/>
      <c r="Y34" s="161"/>
      <c r="AA34" s="7"/>
      <c r="AB34" s="9"/>
    </row>
    <row r="35" spans="1:28" ht="12" customHeight="1" hidden="1">
      <c r="A35" s="1"/>
      <c r="B35" s="40" t="s">
        <v>50</v>
      </c>
      <c r="C35" s="31" t="s">
        <v>79</v>
      </c>
      <c r="D35" s="217">
        <f>D33/(D34+1E-100)*D11/1000</f>
        <v>0</v>
      </c>
      <c r="E35" s="215"/>
      <c r="F35" s="214">
        <v>2565.7</v>
      </c>
      <c r="G35" s="386"/>
      <c r="H35" s="94">
        <v>0</v>
      </c>
      <c r="I35" s="94"/>
      <c r="J35" s="226">
        <v>0</v>
      </c>
      <c r="K35" s="236">
        <f>J35/(H35+1E-133)*100-100</f>
        <v>-100</v>
      </c>
      <c r="L35" s="220">
        <f>L33/(L34+1E-100)*L11/1000</f>
        <v>0</v>
      </c>
      <c r="M35" s="236">
        <f>L35/(H35+1E-106)*100-100</f>
        <v>-100</v>
      </c>
      <c r="N35" s="236">
        <f>L35-J35</f>
        <v>0</v>
      </c>
      <c r="O35" s="237"/>
      <c r="P35" s="238">
        <f>P33/(P34+1E-100)*P11/1000</f>
        <v>0</v>
      </c>
      <c r="Q35" s="239">
        <f>P35/(H35+1E-106)*100-100</f>
        <v>-100</v>
      </c>
      <c r="R35" s="426"/>
      <c r="S35" s="238">
        <f>S33/(S34+1E-100)*S11/1000</f>
        <v>0</v>
      </c>
      <c r="T35" s="426"/>
      <c r="U35" s="239">
        <f>S35/(P35+1E-106)*100-100</f>
        <v>-100</v>
      </c>
      <c r="V35" s="239">
        <f>S35/(H35+1E-106)*100-100</f>
        <v>-100</v>
      </c>
      <c r="W35" s="239">
        <f>S35-J35</f>
        <v>0</v>
      </c>
      <c r="X35" s="211"/>
      <c r="Y35" s="161"/>
      <c r="AA35" s="7"/>
      <c r="AB35" s="9"/>
    </row>
    <row r="36" spans="1:28" s="250" customFormat="1" ht="12" customHeight="1" hidden="1">
      <c r="A36" s="51"/>
      <c r="B36" s="39" t="s">
        <v>30</v>
      </c>
      <c r="C36" s="52" t="s">
        <v>78</v>
      </c>
      <c r="D36" s="247"/>
      <c r="E36" s="248">
        <f>E134/(E35+1E-102)*1000</f>
        <v>0</v>
      </c>
      <c r="F36" s="204">
        <v>3216.1</v>
      </c>
      <c r="G36" s="255"/>
      <c r="H36" s="98"/>
      <c r="I36" s="98"/>
      <c r="J36" s="365"/>
      <c r="K36" s="249">
        <f>J36/(H36+1E-133)*100-100</f>
        <v>-100</v>
      </c>
      <c r="L36" s="247"/>
      <c r="M36" s="249">
        <f>L36/(H36+1E-106)*100-100</f>
        <v>-100</v>
      </c>
      <c r="N36" s="249">
        <f>L36-J36</f>
        <v>0</v>
      </c>
      <c r="O36" s="248"/>
      <c r="P36" s="229"/>
      <c r="Q36" s="205">
        <f>P36/(H36+1E-106)*100-100</f>
        <v>-100</v>
      </c>
      <c r="R36" s="423"/>
      <c r="S36" s="229"/>
      <c r="T36" s="423"/>
      <c r="U36" s="205">
        <f>S36/(P36+1E-106)*100-100</f>
        <v>-100</v>
      </c>
      <c r="V36" s="205">
        <f>S36/(H36+1E-106)*100-100</f>
        <v>-100</v>
      </c>
      <c r="W36" s="205">
        <f>S36-J36</f>
        <v>0</v>
      </c>
      <c r="X36" s="207"/>
      <c r="Y36" s="254"/>
      <c r="AB36" s="251"/>
    </row>
    <row r="37" spans="1:28" ht="12" customHeight="1" hidden="1">
      <c r="A37" s="1"/>
      <c r="B37" s="43" t="s">
        <v>77</v>
      </c>
      <c r="C37" s="31" t="s">
        <v>78</v>
      </c>
      <c r="D37" s="214"/>
      <c r="E37" s="215"/>
      <c r="F37" s="214"/>
      <c r="G37" s="386"/>
      <c r="H37" s="98"/>
      <c r="I37" s="98"/>
      <c r="J37" s="365"/>
      <c r="K37" s="236">
        <f>J37/(H37+1E-133)*100-100</f>
        <v>-100</v>
      </c>
      <c r="L37" s="213"/>
      <c r="M37" s="236">
        <f>L37/(H37+1E-106)*100-100</f>
        <v>-100</v>
      </c>
      <c r="N37" s="236">
        <f>L37-J37</f>
        <v>0</v>
      </c>
      <c r="O37" s="237"/>
      <c r="P37" s="238"/>
      <c r="Q37" s="239">
        <f>P37/(H37+1E-106)*100-100</f>
        <v>-100</v>
      </c>
      <c r="R37" s="426"/>
      <c r="S37" s="238"/>
      <c r="T37" s="426"/>
      <c r="U37" s="239">
        <f>S37/(P37+1E-106)*100-100</f>
        <v>-100</v>
      </c>
      <c r="V37" s="239">
        <f>S37/(H37+1E-106)*100-100</f>
        <v>-100</v>
      </c>
      <c r="W37" s="239">
        <f>S37-J37</f>
        <v>0</v>
      </c>
      <c r="X37" s="211"/>
      <c r="Y37" s="161"/>
      <c r="AA37" s="7"/>
      <c r="AB37" s="9"/>
    </row>
    <row r="38" spans="1:28" ht="12" customHeight="1" hidden="1">
      <c r="A38" s="1" t="s">
        <v>62</v>
      </c>
      <c r="B38" s="39" t="s">
        <v>82</v>
      </c>
      <c r="C38" s="31"/>
      <c r="D38" s="217"/>
      <c r="E38" s="218"/>
      <c r="F38" s="217"/>
      <c r="G38" s="218"/>
      <c r="H38" s="94"/>
      <c r="I38" s="94"/>
      <c r="J38" s="226"/>
      <c r="K38" s="236"/>
      <c r="L38" s="220"/>
      <c r="M38" s="236"/>
      <c r="N38" s="236"/>
      <c r="O38" s="237"/>
      <c r="P38" s="238"/>
      <c r="Q38" s="239"/>
      <c r="R38" s="426"/>
      <c r="S38" s="238"/>
      <c r="T38" s="426"/>
      <c r="U38" s="239"/>
      <c r="V38" s="239"/>
      <c r="W38" s="239"/>
      <c r="X38" s="211"/>
      <c r="Y38" s="161"/>
      <c r="AA38" s="7"/>
      <c r="AB38" s="9"/>
    </row>
    <row r="39" spans="1:28" ht="12" customHeight="1" hidden="1">
      <c r="A39" s="1"/>
      <c r="B39" s="41" t="s">
        <v>49</v>
      </c>
      <c r="C39" s="31" t="s">
        <v>73</v>
      </c>
      <c r="D39" s="214"/>
      <c r="E39" s="225">
        <f>E41*1000*E40/(E12+1E-97)</f>
        <v>0</v>
      </c>
      <c r="F39" s="217"/>
      <c r="G39" s="218"/>
      <c r="H39" s="98"/>
      <c r="I39" s="98"/>
      <c r="J39" s="365"/>
      <c r="K39" s="236">
        <f>J39/(H39+1E-133)*100-100</f>
        <v>-100</v>
      </c>
      <c r="L39" s="213"/>
      <c r="M39" s="236">
        <f>L39/(H39+1E-106)*100-100</f>
        <v>-100</v>
      </c>
      <c r="N39" s="236">
        <f>L39-J39</f>
        <v>0</v>
      </c>
      <c r="O39" s="237"/>
      <c r="P39" s="238"/>
      <c r="Q39" s="239">
        <f>P39/(H39+1E-106)*100-100</f>
        <v>-100</v>
      </c>
      <c r="R39" s="426"/>
      <c r="S39" s="238"/>
      <c r="T39" s="426"/>
      <c r="U39" s="239">
        <f>S39/(P39+1E-106)*100-100</f>
        <v>-100</v>
      </c>
      <c r="V39" s="239">
        <f>S39/(H39+1E-106)*100-100</f>
        <v>-100</v>
      </c>
      <c r="W39" s="239">
        <f>S39-J39</f>
        <v>0</v>
      </c>
      <c r="X39" s="211"/>
      <c r="Y39" s="161"/>
      <c r="AA39" s="7"/>
      <c r="AB39" s="9"/>
    </row>
    <row r="40" spans="1:28" ht="12" customHeight="1" hidden="1">
      <c r="A40" s="1"/>
      <c r="B40" s="41" t="s">
        <v>93</v>
      </c>
      <c r="C40" s="31"/>
      <c r="D40" s="214"/>
      <c r="E40" s="215"/>
      <c r="F40" s="214"/>
      <c r="G40" s="386"/>
      <c r="H40" s="102"/>
      <c r="I40" s="102"/>
      <c r="J40" s="365"/>
      <c r="K40" s="236"/>
      <c r="L40" s="213"/>
      <c r="M40" s="236"/>
      <c r="N40" s="236"/>
      <c r="O40" s="237"/>
      <c r="P40" s="238"/>
      <c r="Q40" s="239">
        <f>P40/(H40+1E-106)*100-100</f>
        <v>-100</v>
      </c>
      <c r="R40" s="426"/>
      <c r="S40" s="238"/>
      <c r="T40" s="426"/>
      <c r="U40" s="239">
        <f>S40/(P40+1E-106)*100-100</f>
        <v>-100</v>
      </c>
      <c r="V40" s="239">
        <f>S40/(H40+1E-106)*100-100</f>
        <v>-100</v>
      </c>
      <c r="W40" s="239">
        <f>S40-J40</f>
        <v>0</v>
      </c>
      <c r="X40" s="211"/>
      <c r="Y40" s="161"/>
      <c r="AA40" s="7"/>
      <c r="AB40" s="9"/>
    </row>
    <row r="41" spans="1:28" ht="12" customHeight="1" hidden="1">
      <c r="A41" s="1"/>
      <c r="B41" s="40" t="s">
        <v>50</v>
      </c>
      <c r="C41" s="31" t="s">
        <v>79</v>
      </c>
      <c r="D41" s="217">
        <f>D39/(D40+1E-102)*D12/1000</f>
        <v>0</v>
      </c>
      <c r="E41" s="215"/>
      <c r="F41" s="214">
        <v>0</v>
      </c>
      <c r="G41" s="386"/>
      <c r="H41" s="105">
        <v>0</v>
      </c>
      <c r="I41" s="105"/>
      <c r="J41" s="226">
        <v>0</v>
      </c>
      <c r="K41" s="236">
        <f>J41/(H41+1E-133)*100-100</f>
        <v>-100</v>
      </c>
      <c r="L41" s="220">
        <f>L39/(L40+1E-102)*L12/1000</f>
        <v>0</v>
      </c>
      <c r="M41" s="236">
        <f>L41/(H41+1E-106)*100-100</f>
        <v>-100</v>
      </c>
      <c r="N41" s="236">
        <f>L41-J41</f>
        <v>0</v>
      </c>
      <c r="O41" s="237"/>
      <c r="P41" s="238">
        <f>P39/(P40+1E-102)*P12/1000</f>
        <v>0</v>
      </c>
      <c r="Q41" s="239">
        <f>P41/(H41+1E-106)*100-100</f>
        <v>-100</v>
      </c>
      <c r="R41" s="426"/>
      <c r="S41" s="238">
        <f>S39/(S40+1E-102)*S12/1000</f>
        <v>0</v>
      </c>
      <c r="T41" s="426"/>
      <c r="U41" s="239">
        <f>S41/(P41+1E-106)*100-100</f>
        <v>-100</v>
      </c>
      <c r="V41" s="239">
        <f>S41/(H41+1E-106)*100-100</f>
        <v>-100</v>
      </c>
      <c r="W41" s="239">
        <f>S41-J41</f>
        <v>0</v>
      </c>
      <c r="X41" s="211"/>
      <c r="Y41" s="161"/>
      <c r="AA41" s="7"/>
      <c r="AB41" s="9"/>
    </row>
    <row r="42" spans="1:28" s="250" customFormat="1" ht="12" customHeight="1" hidden="1">
      <c r="A42" s="51"/>
      <c r="B42" s="39" t="s">
        <v>30</v>
      </c>
      <c r="C42" s="52" t="s">
        <v>78</v>
      </c>
      <c r="D42" s="247"/>
      <c r="E42" s="248">
        <f>E135/(E41+1E-103)*1000</f>
        <v>0</v>
      </c>
      <c r="F42" s="204"/>
      <c r="G42" s="255"/>
      <c r="H42" s="98"/>
      <c r="I42" s="98"/>
      <c r="J42" s="365"/>
      <c r="K42" s="249">
        <f>J42/(H42+1E-133)*100-100</f>
        <v>-100</v>
      </c>
      <c r="L42" s="247"/>
      <c r="M42" s="249">
        <f>L42/(H42+1E-106)*100-100</f>
        <v>-100</v>
      </c>
      <c r="N42" s="249">
        <f>L42-J42</f>
        <v>0</v>
      </c>
      <c r="O42" s="248"/>
      <c r="P42" s="229"/>
      <c r="Q42" s="205">
        <f>P42/(H42+1E-106)*100-100</f>
        <v>-100</v>
      </c>
      <c r="R42" s="423"/>
      <c r="S42" s="229"/>
      <c r="T42" s="423"/>
      <c r="U42" s="205">
        <f>S42/(P42+1E-106)*100-100</f>
        <v>-100</v>
      </c>
      <c r="V42" s="205">
        <f>S42/(H42+1E-106)*100-100</f>
        <v>-100</v>
      </c>
      <c r="W42" s="205">
        <f>S42-J42</f>
        <v>0</v>
      </c>
      <c r="X42" s="207"/>
      <c r="Y42" s="254"/>
      <c r="AB42" s="251"/>
    </row>
    <row r="43" spans="1:28" ht="12" customHeight="1" hidden="1">
      <c r="A43" s="1"/>
      <c r="B43" s="43" t="s">
        <v>77</v>
      </c>
      <c r="C43" s="31" t="s">
        <v>78</v>
      </c>
      <c r="D43" s="214"/>
      <c r="E43" s="215"/>
      <c r="F43" s="214"/>
      <c r="G43" s="386"/>
      <c r="H43" s="98"/>
      <c r="I43" s="98"/>
      <c r="J43" s="365"/>
      <c r="K43" s="236">
        <f>J43/(H43+1E-133)*100-100</f>
        <v>-100</v>
      </c>
      <c r="L43" s="213"/>
      <c r="M43" s="236">
        <f>L43/(H43+1E-106)*100-100</f>
        <v>-100</v>
      </c>
      <c r="N43" s="236">
        <f>L43-J43</f>
        <v>0</v>
      </c>
      <c r="O43" s="237"/>
      <c r="P43" s="238"/>
      <c r="Q43" s="239">
        <f>P43/(H43+1E-106)*100-100</f>
        <v>-100</v>
      </c>
      <c r="R43" s="426"/>
      <c r="S43" s="238"/>
      <c r="T43" s="426"/>
      <c r="U43" s="239">
        <f>S43/(P43+1E-106)*100-100</f>
        <v>-100</v>
      </c>
      <c r="V43" s="239">
        <f>S43/(H43+1E-106)*100-100</f>
        <v>-100</v>
      </c>
      <c r="W43" s="239">
        <f>S43-J43</f>
        <v>0</v>
      </c>
      <c r="X43" s="211"/>
      <c r="Y43" s="161"/>
      <c r="AA43" s="7"/>
      <c r="AB43" s="9"/>
    </row>
    <row r="44" spans="1:28" ht="12" customHeight="1" hidden="1">
      <c r="A44" s="1" t="s">
        <v>62</v>
      </c>
      <c r="B44" s="39" t="s">
        <v>84</v>
      </c>
      <c r="C44" s="31"/>
      <c r="D44" s="217"/>
      <c r="E44" s="218"/>
      <c r="F44" s="217"/>
      <c r="G44" s="218"/>
      <c r="H44" s="94"/>
      <c r="I44" s="94"/>
      <c r="J44" s="226"/>
      <c r="K44" s="236"/>
      <c r="L44" s="220"/>
      <c r="M44" s="236"/>
      <c r="N44" s="236"/>
      <c r="O44" s="237"/>
      <c r="P44" s="238"/>
      <c r="Q44" s="239"/>
      <c r="R44" s="426"/>
      <c r="S44" s="238"/>
      <c r="T44" s="426"/>
      <c r="U44" s="239"/>
      <c r="V44" s="239"/>
      <c r="W44" s="239"/>
      <c r="X44" s="211"/>
      <c r="Y44" s="161"/>
      <c r="AA44" s="7"/>
      <c r="AB44" s="9"/>
    </row>
    <row r="45" spans="1:28" ht="12" customHeight="1" hidden="1">
      <c r="A45" s="1"/>
      <c r="B45" s="41" t="s">
        <v>49</v>
      </c>
      <c r="C45" s="31" t="s">
        <v>73</v>
      </c>
      <c r="D45" s="214"/>
      <c r="E45" s="225">
        <f>E47*1000*E46/(E13+1E-99)</f>
        <v>0</v>
      </c>
      <c r="F45" s="217">
        <v>155</v>
      </c>
      <c r="G45" s="218"/>
      <c r="H45" s="98"/>
      <c r="I45" s="98"/>
      <c r="J45" s="365"/>
      <c r="K45" s="236">
        <f>J45/(H45+1E-133)*100-100</f>
        <v>-100</v>
      </c>
      <c r="L45" s="213"/>
      <c r="M45" s="236">
        <f>L45/(H45+1E-106)*100-100</f>
        <v>-100</v>
      </c>
      <c r="N45" s="236">
        <f>L45-J45</f>
        <v>0</v>
      </c>
      <c r="O45" s="237"/>
      <c r="P45" s="238"/>
      <c r="Q45" s="239">
        <f>P45/(H45+1E-106)*100-100</f>
        <v>-100</v>
      </c>
      <c r="R45" s="426"/>
      <c r="S45" s="238"/>
      <c r="T45" s="426"/>
      <c r="U45" s="239">
        <f>S45/(P45+1E-106)*100-100</f>
        <v>-100</v>
      </c>
      <c r="V45" s="239">
        <f>S45/(H45+1E-106)*100-100</f>
        <v>-100</v>
      </c>
      <c r="W45" s="239">
        <f>S45-J45</f>
        <v>0</v>
      </c>
      <c r="X45" s="211"/>
      <c r="Y45" s="161"/>
      <c r="AA45" s="7"/>
      <c r="AB45" s="9"/>
    </row>
    <row r="46" spans="1:28" ht="12" customHeight="1" hidden="1">
      <c r="A46" s="1"/>
      <c r="B46" s="41" t="s">
        <v>93</v>
      </c>
      <c r="C46" s="31"/>
      <c r="D46" s="214"/>
      <c r="E46" s="215"/>
      <c r="F46" s="214">
        <v>1.467</v>
      </c>
      <c r="G46" s="386"/>
      <c r="H46" s="102"/>
      <c r="I46" s="102"/>
      <c r="J46" s="365"/>
      <c r="K46" s="236"/>
      <c r="L46" s="213"/>
      <c r="M46" s="236"/>
      <c r="N46" s="236"/>
      <c r="O46" s="237"/>
      <c r="P46" s="238"/>
      <c r="Q46" s="239">
        <f>P46/(H46+1E-106)*100-100</f>
        <v>-100</v>
      </c>
      <c r="R46" s="426"/>
      <c r="S46" s="238"/>
      <c r="T46" s="426"/>
      <c r="U46" s="239">
        <f>S46/(P46+1E-106)*100-100</f>
        <v>-100</v>
      </c>
      <c r="V46" s="239">
        <f>S46/(H46+1E-106)*100-100</f>
        <v>-100</v>
      </c>
      <c r="W46" s="239">
        <f>S46-J46</f>
        <v>0</v>
      </c>
      <c r="X46" s="211"/>
      <c r="Y46" s="161"/>
      <c r="AA46" s="7"/>
      <c r="AB46" s="9"/>
    </row>
    <row r="47" spans="1:28" ht="12" customHeight="1" hidden="1">
      <c r="A47" s="1"/>
      <c r="B47" s="40" t="s">
        <v>50</v>
      </c>
      <c r="C47" s="31" t="s">
        <v>79</v>
      </c>
      <c r="D47" s="217">
        <f>D45/(D46+1E-105)*D13/1000</f>
        <v>0</v>
      </c>
      <c r="E47" s="215"/>
      <c r="F47" s="214">
        <v>41.1</v>
      </c>
      <c r="G47" s="386"/>
      <c r="H47" s="105">
        <v>0</v>
      </c>
      <c r="I47" s="105"/>
      <c r="J47" s="226">
        <v>0</v>
      </c>
      <c r="K47" s="236">
        <f>J47/(H47+1E-133)*100-100</f>
        <v>-100</v>
      </c>
      <c r="L47" s="220">
        <f>L45/(L46+1E-105)*L13/1000</f>
        <v>0</v>
      </c>
      <c r="M47" s="236">
        <f>L47/(H47+1E-106)*100-100</f>
        <v>-100</v>
      </c>
      <c r="N47" s="236">
        <f>L47-J47</f>
        <v>0</v>
      </c>
      <c r="O47" s="237"/>
      <c r="P47" s="238">
        <f>P45/(P46+1E-105)*P13/1000</f>
        <v>0</v>
      </c>
      <c r="Q47" s="239">
        <f>P47/(H47+1E-106)*100-100</f>
        <v>-100</v>
      </c>
      <c r="R47" s="426"/>
      <c r="S47" s="238">
        <f>S45/(S46+1E-105)*S13/1000</f>
        <v>0</v>
      </c>
      <c r="T47" s="426"/>
      <c r="U47" s="239">
        <f>S47/(P47+1E-106)*100-100</f>
        <v>-100</v>
      </c>
      <c r="V47" s="239">
        <f>S47/(H47+1E-106)*100-100</f>
        <v>-100</v>
      </c>
      <c r="W47" s="239">
        <f>S47-J47</f>
        <v>0</v>
      </c>
      <c r="X47" s="211"/>
      <c r="Y47" s="161"/>
      <c r="AA47" s="7"/>
      <c r="AB47" s="9"/>
    </row>
    <row r="48" spans="1:28" s="250" customFormat="1" ht="12" customHeight="1" hidden="1">
      <c r="A48" s="51"/>
      <c r="B48" s="39" t="s">
        <v>30</v>
      </c>
      <c r="C48" s="52" t="s">
        <v>78</v>
      </c>
      <c r="D48" s="247"/>
      <c r="E48" s="248">
        <f>E136/(E47+1E-102)*1000</f>
        <v>0</v>
      </c>
      <c r="F48" s="204">
        <v>21572.99</v>
      </c>
      <c r="G48" s="255"/>
      <c r="H48" s="98"/>
      <c r="I48" s="98"/>
      <c r="J48" s="365"/>
      <c r="K48" s="249">
        <f>J48/(H48+1E-133)*100-100</f>
        <v>-100</v>
      </c>
      <c r="L48" s="247"/>
      <c r="M48" s="249">
        <f>L48/(H48+1E-106)*100-100</f>
        <v>-100</v>
      </c>
      <c r="N48" s="249">
        <f>L48-J48</f>
        <v>0</v>
      </c>
      <c r="O48" s="248"/>
      <c r="P48" s="229"/>
      <c r="Q48" s="205">
        <f>P48/(H48+1E-106)*100-100</f>
        <v>-100</v>
      </c>
      <c r="R48" s="423"/>
      <c r="S48" s="229"/>
      <c r="T48" s="423"/>
      <c r="U48" s="205">
        <f>S48/(P48+1E-106)*100-100</f>
        <v>-100</v>
      </c>
      <c r="V48" s="205">
        <f>S48/(H48+1E-106)*100-100</f>
        <v>-100</v>
      </c>
      <c r="W48" s="205">
        <f>S48-J48</f>
        <v>0</v>
      </c>
      <c r="X48" s="207"/>
      <c r="Y48" s="254"/>
      <c r="AB48" s="251"/>
    </row>
    <row r="49" spans="1:28" ht="12" customHeight="1" hidden="1">
      <c r="A49" s="1"/>
      <c r="B49" s="43" t="s">
        <v>77</v>
      </c>
      <c r="C49" s="31" t="s">
        <v>78</v>
      </c>
      <c r="D49" s="214"/>
      <c r="E49" s="215"/>
      <c r="F49" s="214"/>
      <c r="G49" s="386"/>
      <c r="H49" s="98"/>
      <c r="I49" s="98"/>
      <c r="J49" s="365"/>
      <c r="K49" s="236">
        <f>J49/(H49+1E-133)*100-100</f>
        <v>-100</v>
      </c>
      <c r="L49" s="213"/>
      <c r="M49" s="236">
        <f>L49/(H49+1E-106)*100-100</f>
        <v>-100</v>
      </c>
      <c r="N49" s="236">
        <f>L49-J49</f>
        <v>0</v>
      </c>
      <c r="O49" s="237"/>
      <c r="P49" s="238"/>
      <c r="Q49" s="239">
        <f>P49/(H49+1E-106)*100-100</f>
        <v>-100</v>
      </c>
      <c r="R49" s="426"/>
      <c r="S49" s="238"/>
      <c r="T49" s="426"/>
      <c r="U49" s="239">
        <f>S49/(P49+1E-106)*100-100</f>
        <v>-100</v>
      </c>
      <c r="V49" s="239">
        <f>S49/(H49+1E-106)*100-100</f>
        <v>-100</v>
      </c>
      <c r="W49" s="239">
        <f>S49-J49</f>
        <v>0</v>
      </c>
      <c r="X49" s="211"/>
      <c r="Y49" s="161"/>
      <c r="AA49" s="7"/>
      <c r="AB49" s="9"/>
    </row>
    <row r="50" spans="1:28" ht="12" customHeight="1" hidden="1">
      <c r="A50" s="1" t="s">
        <v>62</v>
      </c>
      <c r="B50" s="39" t="s">
        <v>83</v>
      </c>
      <c r="C50" s="31"/>
      <c r="D50" s="217"/>
      <c r="E50" s="218"/>
      <c r="F50" s="217"/>
      <c r="G50" s="218"/>
      <c r="H50" s="94"/>
      <c r="I50" s="94"/>
      <c r="J50" s="226"/>
      <c r="K50" s="236"/>
      <c r="L50" s="220"/>
      <c r="M50" s="236"/>
      <c r="N50" s="236"/>
      <c r="O50" s="237"/>
      <c r="P50" s="238"/>
      <c r="Q50" s="239"/>
      <c r="R50" s="426"/>
      <c r="S50" s="238"/>
      <c r="T50" s="426"/>
      <c r="U50" s="239"/>
      <c r="V50" s="239"/>
      <c r="W50" s="239"/>
      <c r="X50" s="211"/>
      <c r="Y50" s="161"/>
      <c r="AA50" s="7"/>
      <c r="AB50" s="9"/>
    </row>
    <row r="51" spans="1:28" ht="12" customHeight="1" hidden="1">
      <c r="A51" s="1"/>
      <c r="B51" s="41" t="s">
        <v>49</v>
      </c>
      <c r="C51" s="31" t="s">
        <v>73</v>
      </c>
      <c r="D51" s="214"/>
      <c r="E51" s="225">
        <f>E53*1000*E52/(E14+1E-97)</f>
        <v>0</v>
      </c>
      <c r="F51" s="217"/>
      <c r="G51" s="218"/>
      <c r="H51" s="98"/>
      <c r="I51" s="98"/>
      <c r="J51" s="365"/>
      <c r="K51" s="236">
        <f>J51/(H51+1E-133)*100-100</f>
        <v>-100</v>
      </c>
      <c r="L51" s="213"/>
      <c r="M51" s="236">
        <f>L51/(H51+1E-106)*100-100</f>
        <v>-100</v>
      </c>
      <c r="N51" s="236">
        <f>L51-J51</f>
        <v>0</v>
      </c>
      <c r="O51" s="237"/>
      <c r="P51" s="238"/>
      <c r="Q51" s="239">
        <f>P51/(H51+1E-106)*100-100</f>
        <v>-100</v>
      </c>
      <c r="R51" s="426"/>
      <c r="S51" s="238"/>
      <c r="T51" s="426"/>
      <c r="U51" s="239">
        <f>S51/(P51+1E-106)*100-100</f>
        <v>-100</v>
      </c>
      <c r="V51" s="239">
        <f>S51/(H51+1E-106)*100-100</f>
        <v>-100</v>
      </c>
      <c r="W51" s="239">
        <f>S51-J51</f>
        <v>0</v>
      </c>
      <c r="X51" s="211"/>
      <c r="Y51" s="161"/>
      <c r="AA51" s="7"/>
      <c r="AB51" s="9"/>
    </row>
    <row r="52" spans="1:28" ht="12" customHeight="1" hidden="1">
      <c r="A52" s="1"/>
      <c r="B52" s="41" t="s">
        <v>93</v>
      </c>
      <c r="C52" s="31"/>
      <c r="D52" s="214"/>
      <c r="E52" s="215"/>
      <c r="F52" s="214"/>
      <c r="G52" s="386"/>
      <c r="H52" s="102"/>
      <c r="I52" s="102"/>
      <c r="J52" s="365"/>
      <c r="K52" s="236"/>
      <c r="L52" s="213"/>
      <c r="M52" s="236"/>
      <c r="N52" s="236"/>
      <c r="O52" s="237"/>
      <c r="P52" s="238"/>
      <c r="Q52" s="239">
        <f>P52/(H52+1E-106)*100-100</f>
        <v>-100</v>
      </c>
      <c r="R52" s="426"/>
      <c r="S52" s="238"/>
      <c r="T52" s="426"/>
      <c r="U52" s="239">
        <f>S52/(P52+1E-106)*100-100</f>
        <v>-100</v>
      </c>
      <c r="V52" s="239">
        <f>S52/(H52+1E-106)*100-100</f>
        <v>-100</v>
      </c>
      <c r="W52" s="239">
        <f>S52-J52</f>
        <v>0</v>
      </c>
      <c r="X52" s="211"/>
      <c r="Y52" s="161"/>
      <c r="AA52" s="7"/>
      <c r="AB52" s="9"/>
    </row>
    <row r="53" spans="1:28" ht="12" customHeight="1" hidden="1">
      <c r="A53" s="1"/>
      <c r="B53" s="40" t="s">
        <v>50</v>
      </c>
      <c r="C53" s="31" t="s">
        <v>79</v>
      </c>
      <c r="D53" s="217">
        <f>D51/(D52+1E-101)*D14/1000</f>
        <v>0</v>
      </c>
      <c r="E53" s="215"/>
      <c r="F53" s="214">
        <v>0</v>
      </c>
      <c r="G53" s="386"/>
      <c r="H53" s="105">
        <v>0</v>
      </c>
      <c r="I53" s="105"/>
      <c r="J53" s="226">
        <v>0</v>
      </c>
      <c r="K53" s="236">
        <f>J53/(H53+1E-133)*100-100</f>
        <v>-100</v>
      </c>
      <c r="L53" s="220">
        <f>L51/(L52+1E-101)*L14/1000</f>
        <v>0</v>
      </c>
      <c r="M53" s="236">
        <f>L53/(H53+1E-106)*100-100</f>
        <v>-100</v>
      </c>
      <c r="N53" s="236">
        <f>L53-J53</f>
        <v>0</v>
      </c>
      <c r="O53" s="237"/>
      <c r="P53" s="238">
        <f>P51/(P52+1E-101)*P14/1000</f>
        <v>0</v>
      </c>
      <c r="Q53" s="239">
        <f>P53/(H53+1E-106)*100-100</f>
        <v>-100</v>
      </c>
      <c r="R53" s="426"/>
      <c r="S53" s="238">
        <f>S51/(S52+1E-101)*S14/1000</f>
        <v>0</v>
      </c>
      <c r="T53" s="426"/>
      <c r="U53" s="239">
        <f>S53/(P53+1E-106)*100-100</f>
        <v>-100</v>
      </c>
      <c r="V53" s="239">
        <f>S53/(H53+1E-106)*100-100</f>
        <v>-100</v>
      </c>
      <c r="W53" s="239">
        <f>S53-J53</f>
        <v>0</v>
      </c>
      <c r="X53" s="211"/>
      <c r="Y53" s="161"/>
      <c r="AA53" s="7"/>
      <c r="AB53" s="9"/>
    </row>
    <row r="54" spans="1:28" s="250" customFormat="1" ht="12" customHeight="1" hidden="1">
      <c r="A54" s="51"/>
      <c r="B54" s="39" t="s">
        <v>30</v>
      </c>
      <c r="C54" s="52" t="s">
        <v>78</v>
      </c>
      <c r="D54" s="247"/>
      <c r="E54" s="248">
        <f>E137/(E53+1E-102)*1000</f>
        <v>0</v>
      </c>
      <c r="F54" s="204"/>
      <c r="G54" s="255"/>
      <c r="H54" s="98"/>
      <c r="I54" s="98"/>
      <c r="J54" s="365"/>
      <c r="K54" s="249">
        <f>J54/(H54+1E-133)*100-100</f>
        <v>-100</v>
      </c>
      <c r="L54" s="247"/>
      <c r="M54" s="249">
        <f>L54/(H54+1E-106)*100-100</f>
        <v>-100</v>
      </c>
      <c r="N54" s="249">
        <f>L54-J54</f>
        <v>0</v>
      </c>
      <c r="O54" s="248"/>
      <c r="P54" s="229"/>
      <c r="Q54" s="205">
        <f>P54/(H54+1E-106)*100-100</f>
        <v>-100</v>
      </c>
      <c r="R54" s="423"/>
      <c r="S54" s="229"/>
      <c r="T54" s="423"/>
      <c r="U54" s="205">
        <f>S54/(P54+1E-106)*100-100</f>
        <v>-100</v>
      </c>
      <c r="V54" s="205">
        <f>S54/(H54+1E-106)*100-100</f>
        <v>-100</v>
      </c>
      <c r="W54" s="205">
        <f>S54-J54</f>
        <v>0</v>
      </c>
      <c r="X54" s="207"/>
      <c r="Y54" s="254"/>
      <c r="AB54" s="251"/>
    </row>
    <row r="55" spans="1:28" ht="12" customHeight="1" hidden="1">
      <c r="A55" s="1"/>
      <c r="B55" s="43" t="s">
        <v>77</v>
      </c>
      <c r="C55" s="31" t="s">
        <v>78</v>
      </c>
      <c r="D55" s="214"/>
      <c r="E55" s="215"/>
      <c r="F55" s="214"/>
      <c r="G55" s="386"/>
      <c r="H55" s="98"/>
      <c r="I55" s="98"/>
      <c r="J55" s="365"/>
      <c r="K55" s="236">
        <f>J55/(H55+1E-133)*100-100</f>
        <v>-100</v>
      </c>
      <c r="L55" s="213"/>
      <c r="M55" s="236">
        <f>L55/(H55+1E-106)*100-100</f>
        <v>-100</v>
      </c>
      <c r="N55" s="236">
        <f>L55-J55</f>
        <v>0</v>
      </c>
      <c r="O55" s="237"/>
      <c r="P55" s="238"/>
      <c r="Q55" s="239">
        <f>P55/(H55+1E-106)*100-100</f>
        <v>-100</v>
      </c>
      <c r="R55" s="426"/>
      <c r="S55" s="238"/>
      <c r="T55" s="426"/>
      <c r="U55" s="239">
        <f>S55/(P55+1E-106)*100-100</f>
        <v>-100</v>
      </c>
      <c r="V55" s="239">
        <f>S55/(H55+1E-106)*100-100</f>
        <v>-100</v>
      </c>
      <c r="W55" s="239">
        <f>S55-J55</f>
        <v>0</v>
      </c>
      <c r="X55" s="211"/>
      <c r="Y55" s="161"/>
      <c r="AA55" s="7"/>
      <c r="AB55" s="9"/>
    </row>
    <row r="56" spans="1:28" ht="12" customHeight="1" hidden="1">
      <c r="A56" s="1" t="s">
        <v>62</v>
      </c>
      <c r="B56" s="39" t="s">
        <v>85</v>
      </c>
      <c r="C56" s="31"/>
      <c r="D56" s="217"/>
      <c r="E56" s="218"/>
      <c r="F56" s="217"/>
      <c r="G56" s="218"/>
      <c r="H56" s="94"/>
      <c r="I56" s="94"/>
      <c r="J56" s="226"/>
      <c r="K56" s="236"/>
      <c r="L56" s="220"/>
      <c r="M56" s="236"/>
      <c r="N56" s="236"/>
      <c r="O56" s="237"/>
      <c r="P56" s="238"/>
      <c r="Q56" s="239"/>
      <c r="R56" s="426"/>
      <c r="S56" s="238"/>
      <c r="T56" s="426"/>
      <c r="U56" s="239"/>
      <c r="V56" s="239"/>
      <c r="W56" s="239"/>
      <c r="X56" s="211"/>
      <c r="Y56" s="161"/>
      <c r="AA56" s="7"/>
      <c r="AB56" s="9"/>
    </row>
    <row r="57" spans="1:28" ht="12" customHeight="1" hidden="1">
      <c r="A57" s="1"/>
      <c r="B57" s="41" t="s">
        <v>49</v>
      </c>
      <c r="C57" s="31" t="s">
        <v>73</v>
      </c>
      <c r="D57" s="214"/>
      <c r="E57" s="225">
        <f>E59*1000*E58/(E15+1E-96)</f>
        <v>0</v>
      </c>
      <c r="F57" s="217"/>
      <c r="G57" s="218"/>
      <c r="H57" s="98"/>
      <c r="I57" s="98"/>
      <c r="J57" s="365"/>
      <c r="K57" s="236">
        <f>J57/(H57+1E-133)*100-100</f>
        <v>-100</v>
      </c>
      <c r="L57" s="213"/>
      <c r="M57" s="236">
        <f>L57/(H57+1E-106)*100-100</f>
        <v>-100</v>
      </c>
      <c r="N57" s="236">
        <f>L57-J57</f>
        <v>0</v>
      </c>
      <c r="O57" s="237"/>
      <c r="P57" s="238"/>
      <c r="Q57" s="239">
        <f>P57/(H57+1E-106)*100-100</f>
        <v>-100</v>
      </c>
      <c r="R57" s="426"/>
      <c r="S57" s="238"/>
      <c r="T57" s="426"/>
      <c r="U57" s="239">
        <f>S57/(P57+1E-106)*100-100</f>
        <v>-100</v>
      </c>
      <c r="V57" s="239">
        <f>S57/(H57+1E-106)*100-100</f>
        <v>-100</v>
      </c>
      <c r="W57" s="239">
        <f>S57-J57</f>
        <v>0</v>
      </c>
      <c r="X57" s="211"/>
      <c r="Y57" s="161"/>
      <c r="AA57" s="7"/>
      <c r="AB57" s="9"/>
    </row>
    <row r="58" spans="1:28" ht="12" customHeight="1" hidden="1">
      <c r="A58" s="1"/>
      <c r="B58" s="41" t="s">
        <v>93</v>
      </c>
      <c r="C58" s="31"/>
      <c r="D58" s="214"/>
      <c r="E58" s="215"/>
      <c r="F58" s="214"/>
      <c r="G58" s="386"/>
      <c r="H58" s="102"/>
      <c r="I58" s="102"/>
      <c r="J58" s="365"/>
      <c r="K58" s="236"/>
      <c r="L58" s="213"/>
      <c r="M58" s="236"/>
      <c r="N58" s="236"/>
      <c r="O58" s="237"/>
      <c r="P58" s="238"/>
      <c r="Q58" s="239">
        <f>P58/(H58+1E-106)*100-100</f>
        <v>-100</v>
      </c>
      <c r="R58" s="426"/>
      <c r="S58" s="238"/>
      <c r="T58" s="426"/>
      <c r="U58" s="239">
        <f>S58/(P58+1E-106)*100-100</f>
        <v>-100</v>
      </c>
      <c r="V58" s="239">
        <f>S58/(H58+1E-106)*100-100</f>
        <v>-100</v>
      </c>
      <c r="W58" s="239">
        <f>S58-J58</f>
        <v>0</v>
      </c>
      <c r="X58" s="211"/>
      <c r="Y58" s="161"/>
      <c r="AA58" s="7"/>
      <c r="AB58" s="9"/>
    </row>
    <row r="59" spans="1:28" ht="12" customHeight="1" hidden="1">
      <c r="A59" s="1"/>
      <c r="B59" s="40" t="s">
        <v>50</v>
      </c>
      <c r="C59" s="31" t="s">
        <v>79</v>
      </c>
      <c r="D59" s="217">
        <f>D57/(D58+1E-101)*D15/1000</f>
        <v>0</v>
      </c>
      <c r="E59" s="215"/>
      <c r="F59" s="214">
        <v>0</v>
      </c>
      <c r="G59" s="386"/>
      <c r="H59" s="105">
        <v>0</v>
      </c>
      <c r="I59" s="105"/>
      <c r="J59" s="226">
        <v>0</v>
      </c>
      <c r="K59" s="236">
        <f>J59/(H59+1E-133)*100-100</f>
        <v>-100</v>
      </c>
      <c r="L59" s="220">
        <f>L57/(L58+1E-101)*L15/1000</f>
        <v>0</v>
      </c>
      <c r="M59" s="236">
        <f>L59/(H59+1E-106)*100-100</f>
        <v>-100</v>
      </c>
      <c r="N59" s="236">
        <f>L59-J59</f>
        <v>0</v>
      </c>
      <c r="O59" s="237"/>
      <c r="P59" s="238">
        <f>P57/(P58+1E-101)*P15/1000</f>
        <v>0</v>
      </c>
      <c r="Q59" s="239">
        <f>P59/(H59+1E-106)*100-100</f>
        <v>-100</v>
      </c>
      <c r="R59" s="426"/>
      <c r="S59" s="238">
        <f>S57/(S58+1E-101)*S15/1000</f>
        <v>0</v>
      </c>
      <c r="T59" s="426"/>
      <c r="U59" s="239">
        <f>S59/(P59+1E-106)*100-100</f>
        <v>-100</v>
      </c>
      <c r="V59" s="239">
        <f>S59/(H59+1E-106)*100-100</f>
        <v>-100</v>
      </c>
      <c r="W59" s="239">
        <f>S59-J59</f>
        <v>0</v>
      </c>
      <c r="X59" s="211"/>
      <c r="Y59" s="161"/>
      <c r="AA59" s="7"/>
      <c r="AB59" s="9"/>
    </row>
    <row r="60" spans="1:28" s="250" customFormat="1" ht="12" customHeight="1" hidden="1">
      <c r="A60" s="51"/>
      <c r="B60" s="39" t="s">
        <v>30</v>
      </c>
      <c r="C60" s="52" t="s">
        <v>78</v>
      </c>
      <c r="D60" s="221"/>
      <c r="E60" s="248">
        <f>E138/(E59+1E-102)*1000</f>
        <v>0</v>
      </c>
      <c r="F60" s="204"/>
      <c r="G60" s="255"/>
      <c r="H60" s="98"/>
      <c r="I60" s="98"/>
      <c r="J60" s="365"/>
      <c r="K60" s="249">
        <f>J60/(H60+1E-133)*100-100</f>
        <v>-100</v>
      </c>
      <c r="L60" s="247"/>
      <c r="M60" s="249">
        <f>L60/(H60+1E-106)*100-100</f>
        <v>-100</v>
      </c>
      <c r="N60" s="249">
        <f>L60-J60</f>
        <v>0</v>
      </c>
      <c r="O60" s="248"/>
      <c r="P60" s="229"/>
      <c r="Q60" s="205">
        <f>P60/(H60+1E-106)*100-100</f>
        <v>-100</v>
      </c>
      <c r="R60" s="423"/>
      <c r="S60" s="229"/>
      <c r="T60" s="423"/>
      <c r="U60" s="205">
        <f>S60/(P60+1E-106)*100-100</f>
        <v>-100</v>
      </c>
      <c r="V60" s="205">
        <f>S60/(H60+1E-106)*100-100</f>
        <v>-100</v>
      </c>
      <c r="W60" s="205">
        <f>S60-J60</f>
        <v>0</v>
      </c>
      <c r="X60" s="207"/>
      <c r="Y60" s="254"/>
      <c r="AB60" s="251"/>
    </row>
    <row r="61" spans="1:28" ht="12" customHeight="1" hidden="1">
      <c r="A61" s="1"/>
      <c r="B61" s="43" t="s">
        <v>77</v>
      </c>
      <c r="C61" s="31" t="s">
        <v>78</v>
      </c>
      <c r="D61" s="214"/>
      <c r="E61" s="215"/>
      <c r="F61" s="214"/>
      <c r="G61" s="386"/>
      <c r="H61" s="98"/>
      <c r="I61" s="98"/>
      <c r="J61" s="365"/>
      <c r="K61" s="236">
        <f>J61/(H61+1E-133)*100-100</f>
        <v>-100</v>
      </c>
      <c r="L61" s="213"/>
      <c r="M61" s="236">
        <f>L61/(H61+1E-106)*100-100</f>
        <v>-100</v>
      </c>
      <c r="N61" s="236">
        <f>L61-J61</f>
        <v>0</v>
      </c>
      <c r="O61" s="237"/>
      <c r="P61" s="238"/>
      <c r="Q61" s="239">
        <f>P61/(H61+1E-106)*100-100</f>
        <v>-100</v>
      </c>
      <c r="R61" s="426"/>
      <c r="S61" s="238"/>
      <c r="T61" s="426"/>
      <c r="U61" s="239">
        <f>S61/(P61+1E-106)*100-100</f>
        <v>-100</v>
      </c>
      <c r="V61" s="239">
        <f>S61/(H61+1E-106)*100-100</f>
        <v>-100</v>
      </c>
      <c r="W61" s="239">
        <f>S61-J61</f>
        <v>0</v>
      </c>
      <c r="X61" s="211"/>
      <c r="Y61" s="161"/>
      <c r="AA61" s="7"/>
      <c r="AB61" s="9"/>
    </row>
    <row r="62" spans="1:28" ht="12" customHeight="1" hidden="1">
      <c r="A62" s="1" t="s">
        <v>62</v>
      </c>
      <c r="B62" s="39" t="s">
        <v>86</v>
      </c>
      <c r="C62" s="31"/>
      <c r="D62" s="217"/>
      <c r="E62" s="218"/>
      <c r="F62" s="217"/>
      <c r="G62" s="218"/>
      <c r="H62" s="94"/>
      <c r="I62" s="94"/>
      <c r="J62" s="226"/>
      <c r="K62" s="236"/>
      <c r="L62" s="220"/>
      <c r="M62" s="236"/>
      <c r="N62" s="236"/>
      <c r="O62" s="237"/>
      <c r="P62" s="238"/>
      <c r="Q62" s="239"/>
      <c r="R62" s="426"/>
      <c r="S62" s="238"/>
      <c r="T62" s="426"/>
      <c r="U62" s="239"/>
      <c r="V62" s="239"/>
      <c r="W62" s="239"/>
      <c r="X62" s="211"/>
      <c r="Y62" s="161"/>
      <c r="AA62" s="7"/>
      <c r="AB62" s="9"/>
    </row>
    <row r="63" spans="1:28" ht="12" customHeight="1" hidden="1">
      <c r="A63" s="1"/>
      <c r="B63" s="41" t="s">
        <v>49</v>
      </c>
      <c r="C63" s="31" t="s">
        <v>73</v>
      </c>
      <c r="D63" s="214"/>
      <c r="E63" s="225">
        <f>E65*1000*E64/(E16+1E-98)</f>
        <v>0</v>
      </c>
      <c r="F63" s="217"/>
      <c r="G63" s="218"/>
      <c r="H63" s="98"/>
      <c r="I63" s="98"/>
      <c r="J63" s="365"/>
      <c r="K63" s="236">
        <f>J63/(H63+1E-133)*100-100</f>
        <v>-100</v>
      </c>
      <c r="L63" s="213"/>
      <c r="M63" s="236">
        <f>L63/(H63+1E-106)*100-100</f>
        <v>-100</v>
      </c>
      <c r="N63" s="236">
        <f>L63-J63</f>
        <v>0</v>
      </c>
      <c r="O63" s="237"/>
      <c r="P63" s="238"/>
      <c r="Q63" s="239">
        <f>P63/(H63+1E-106)*100-100</f>
        <v>-100</v>
      </c>
      <c r="R63" s="426"/>
      <c r="S63" s="238"/>
      <c r="T63" s="426"/>
      <c r="U63" s="239">
        <f>S63/(P63+1E-106)*100-100</f>
        <v>-100</v>
      </c>
      <c r="V63" s="239">
        <f>S63/(H63+1E-106)*100-100</f>
        <v>-100</v>
      </c>
      <c r="W63" s="239">
        <f aca="true" t="shared" si="7" ref="W63:W77">S63-J63</f>
        <v>0</v>
      </c>
      <c r="X63" s="211"/>
      <c r="Y63" s="161"/>
      <c r="AA63" s="7"/>
      <c r="AB63" s="9"/>
    </row>
    <row r="64" spans="1:28" ht="12" customHeight="1" hidden="1">
      <c r="A64" s="1"/>
      <c r="B64" s="41" t="s">
        <v>93</v>
      </c>
      <c r="C64" s="31"/>
      <c r="D64" s="214"/>
      <c r="E64" s="215"/>
      <c r="F64" s="214"/>
      <c r="G64" s="386"/>
      <c r="H64" s="102"/>
      <c r="I64" s="102"/>
      <c r="J64" s="365"/>
      <c r="K64" s="236"/>
      <c r="L64" s="213"/>
      <c r="M64" s="236"/>
      <c r="N64" s="236"/>
      <c r="O64" s="237"/>
      <c r="P64" s="238"/>
      <c r="Q64" s="239"/>
      <c r="R64" s="426"/>
      <c r="S64" s="238"/>
      <c r="T64" s="426"/>
      <c r="U64" s="239">
        <f>S64/(P64+1E-106)*100-100</f>
        <v>-100</v>
      </c>
      <c r="V64" s="239">
        <f>S64/(H64+1E-106)*100-100</f>
        <v>-100</v>
      </c>
      <c r="W64" s="239">
        <f t="shared" si="7"/>
        <v>0</v>
      </c>
      <c r="X64" s="211"/>
      <c r="Y64" s="161"/>
      <c r="AA64" s="7"/>
      <c r="AB64" s="9"/>
    </row>
    <row r="65" spans="1:28" ht="12" customHeight="1" hidden="1">
      <c r="A65" s="1"/>
      <c r="B65" s="40" t="s">
        <v>50</v>
      </c>
      <c r="C65" s="31" t="s">
        <v>79</v>
      </c>
      <c r="D65" s="217">
        <f>D63/(D64+1E-97)*D16/1000</f>
        <v>0</v>
      </c>
      <c r="E65" s="215"/>
      <c r="F65" s="214">
        <v>0</v>
      </c>
      <c r="G65" s="386"/>
      <c r="H65" s="105">
        <v>0</v>
      </c>
      <c r="I65" s="105"/>
      <c r="J65" s="226">
        <v>0</v>
      </c>
      <c r="K65" s="236">
        <f>J65/(H65+1E-133)*100-100</f>
        <v>-100</v>
      </c>
      <c r="L65" s="220">
        <f>L63/(L64+1E-97)*L16/1000</f>
        <v>0</v>
      </c>
      <c r="M65" s="236">
        <f>L65/(H65+1E-106)*100-100</f>
        <v>-100</v>
      </c>
      <c r="N65" s="236">
        <f>L65-J65</f>
        <v>0</v>
      </c>
      <c r="O65" s="237"/>
      <c r="P65" s="238">
        <f>P63/(P64+1E-97)*P16/1000</f>
        <v>0</v>
      </c>
      <c r="Q65" s="239">
        <f>P65/(H65+1E-106)*100-100</f>
        <v>-100</v>
      </c>
      <c r="R65" s="426"/>
      <c r="S65" s="238">
        <f>S63/(S64+1E-97)*S16/1000</f>
        <v>0</v>
      </c>
      <c r="T65" s="426"/>
      <c r="U65" s="239">
        <f>S65/(P65+1E-106)*100-100</f>
        <v>-100</v>
      </c>
      <c r="V65" s="239">
        <f>S65/(H65+1E-106)*100-100</f>
        <v>-100</v>
      </c>
      <c r="W65" s="239">
        <f t="shared" si="7"/>
        <v>0</v>
      </c>
      <c r="X65" s="211"/>
      <c r="Y65" s="161"/>
      <c r="AA65" s="7"/>
      <c r="AB65" s="9"/>
    </row>
    <row r="66" spans="1:28" s="250" customFormat="1" ht="12" customHeight="1" hidden="1">
      <c r="A66" s="51"/>
      <c r="B66" s="39" t="s">
        <v>30</v>
      </c>
      <c r="C66" s="52" t="s">
        <v>78</v>
      </c>
      <c r="D66" s="247"/>
      <c r="E66" s="248">
        <f>E139/(E65+1E-102)*1000</f>
        <v>0</v>
      </c>
      <c r="F66" s="204"/>
      <c r="G66" s="255"/>
      <c r="H66" s="98"/>
      <c r="I66" s="98"/>
      <c r="J66" s="365"/>
      <c r="K66" s="249">
        <f>J66/(H66+1E-133)*100-100</f>
        <v>-100</v>
      </c>
      <c r="L66" s="247"/>
      <c r="M66" s="249">
        <f>L66/(H66+1E-106)*100-100</f>
        <v>-100</v>
      </c>
      <c r="N66" s="249">
        <f>L66-J66</f>
        <v>0</v>
      </c>
      <c r="O66" s="248"/>
      <c r="P66" s="229"/>
      <c r="Q66" s="205">
        <f>P66/(H66+1E-106)*100-100</f>
        <v>-100</v>
      </c>
      <c r="R66" s="423"/>
      <c r="S66" s="229"/>
      <c r="T66" s="423"/>
      <c r="U66" s="205">
        <f>S66/(P66+1E-106)*100-100</f>
        <v>-100</v>
      </c>
      <c r="V66" s="205">
        <f>S66/(H66+1E-106)*100-100</f>
        <v>-100</v>
      </c>
      <c r="W66" s="205">
        <f t="shared" si="7"/>
        <v>0</v>
      </c>
      <c r="X66" s="207"/>
      <c r="Y66" s="254"/>
      <c r="AB66" s="251"/>
    </row>
    <row r="67" spans="1:28" ht="12" customHeight="1" hidden="1">
      <c r="A67" s="1"/>
      <c r="B67" s="43" t="s">
        <v>77</v>
      </c>
      <c r="C67" s="31" t="s">
        <v>78</v>
      </c>
      <c r="D67" s="214"/>
      <c r="E67" s="215"/>
      <c r="F67" s="214"/>
      <c r="G67" s="386"/>
      <c r="H67" s="98"/>
      <c r="I67" s="98"/>
      <c r="J67" s="365"/>
      <c r="K67" s="236">
        <f>J67/(H67+1E-133)*100-100</f>
        <v>-100</v>
      </c>
      <c r="L67" s="213"/>
      <c r="M67" s="236">
        <f>L67/(H67+1E-106)*100-100</f>
        <v>-100</v>
      </c>
      <c r="N67" s="236">
        <f>L67-J67</f>
        <v>0</v>
      </c>
      <c r="O67" s="237"/>
      <c r="P67" s="238"/>
      <c r="Q67" s="239">
        <f>P67/(H67+1E-106)*100-100</f>
        <v>-100</v>
      </c>
      <c r="R67" s="426"/>
      <c r="S67" s="238"/>
      <c r="T67" s="426"/>
      <c r="U67" s="239">
        <f>S67/(P67+1E-106)*100-100</f>
        <v>-100</v>
      </c>
      <c r="V67" s="239">
        <f>S67/(H67+1E-106)*100-100</f>
        <v>-100</v>
      </c>
      <c r="W67" s="239">
        <f t="shared" si="7"/>
        <v>0</v>
      </c>
      <c r="X67" s="211"/>
      <c r="Y67" s="161"/>
      <c r="AA67" s="7"/>
      <c r="AB67" s="9"/>
    </row>
    <row r="68" spans="1:28" ht="12" customHeight="1">
      <c r="A68" s="51">
        <v>8</v>
      </c>
      <c r="B68" s="39" t="s">
        <v>9</v>
      </c>
      <c r="C68" s="31"/>
      <c r="D68" s="217"/>
      <c r="E68" s="225"/>
      <c r="F68" s="217"/>
      <c r="G68" s="218"/>
      <c r="H68" s="105"/>
      <c r="I68" s="105"/>
      <c r="J68" s="226"/>
      <c r="K68" s="237"/>
      <c r="L68" s="220"/>
      <c r="M68" s="236"/>
      <c r="N68" s="236"/>
      <c r="O68" s="237"/>
      <c r="P68" s="238"/>
      <c r="Q68" s="239"/>
      <c r="R68" s="426"/>
      <c r="S68" s="238"/>
      <c r="T68" s="426"/>
      <c r="U68" s="239"/>
      <c r="V68" s="239"/>
      <c r="W68" s="239">
        <f t="shared" si="7"/>
        <v>0</v>
      </c>
      <c r="X68" s="211"/>
      <c r="Y68" s="161"/>
      <c r="AA68" s="7"/>
      <c r="AB68" s="9"/>
    </row>
    <row r="69" spans="1:28" ht="12" customHeight="1">
      <c r="A69" s="51" t="s">
        <v>62</v>
      </c>
      <c r="B69" s="40" t="s">
        <v>27</v>
      </c>
      <c r="C69" s="31"/>
      <c r="D69" s="217">
        <f>D70*1000/(D9+1E-113)</f>
        <v>0</v>
      </c>
      <c r="E69" s="218">
        <f>E70*1000/(E9+1E-113)</f>
        <v>0</v>
      </c>
      <c r="F69" s="217">
        <v>33</v>
      </c>
      <c r="G69" s="219">
        <v>21.13</v>
      </c>
      <c r="H69" s="105">
        <f>I69</f>
        <v>21.13</v>
      </c>
      <c r="I69" s="105">
        <f>I79/I9*1000</f>
        <v>21.13</v>
      </c>
      <c r="J69" s="226">
        <f>G69</f>
        <v>21.13</v>
      </c>
      <c r="K69" s="236">
        <f aca="true" t="shared" si="8" ref="K69:K74">J69/(H69+1E-133)*100-100</f>
        <v>0</v>
      </c>
      <c r="L69" s="220">
        <f>L70*1000/(L9+1E-113)</f>
        <v>0</v>
      </c>
      <c r="M69" s="236">
        <f>L69/(H69+1E-106)*100-100</f>
        <v>-100</v>
      </c>
      <c r="N69" s="236">
        <f aca="true" t="shared" si="9" ref="N69:N74">L69-J69</f>
        <v>-21.13</v>
      </c>
      <c r="O69" s="237"/>
      <c r="P69" s="238">
        <f>H69</f>
        <v>21.13</v>
      </c>
      <c r="Q69" s="239">
        <f>P69/(H69+1E-106)*100-100</f>
        <v>0</v>
      </c>
      <c r="R69" s="426">
        <v>21.13</v>
      </c>
      <c r="S69" s="238">
        <f>P69</f>
        <v>21.13</v>
      </c>
      <c r="T69" s="426">
        <v>21.13</v>
      </c>
      <c r="U69" s="239">
        <f aca="true" t="shared" si="10" ref="U69:U77">S69/(P69+1E-106)*100-100</f>
        <v>0</v>
      </c>
      <c r="V69" s="239">
        <f aca="true" t="shared" si="11" ref="V69:V77">S69/(H69+1E-106)*100-100</f>
        <v>0</v>
      </c>
      <c r="W69" s="239">
        <f t="shared" si="7"/>
        <v>0</v>
      </c>
      <c r="X69" s="211"/>
      <c r="Y69" s="161"/>
      <c r="AA69" s="7"/>
      <c r="AB69" s="9"/>
    </row>
    <row r="70" spans="1:28" s="250" customFormat="1" ht="39" customHeight="1" hidden="1">
      <c r="A70" s="51" t="s">
        <v>62</v>
      </c>
      <c r="B70" s="39" t="s">
        <v>158</v>
      </c>
      <c r="C70" s="52" t="s">
        <v>44</v>
      </c>
      <c r="D70" s="202">
        <f>D79+D85+D91+D97+D104+D110+D116+D122</f>
        <v>0</v>
      </c>
      <c r="E70" s="255">
        <f>E71+E72+E73+E74</f>
        <v>0</v>
      </c>
      <c r="F70" s="204">
        <v>6407.65</v>
      </c>
      <c r="G70" s="255"/>
      <c r="H70" s="113">
        <v>440.5</v>
      </c>
      <c r="I70" s="113"/>
      <c r="J70" s="364">
        <f>H70</f>
        <v>440.5</v>
      </c>
      <c r="K70" s="249">
        <f t="shared" si="8"/>
        <v>0</v>
      </c>
      <c r="L70" s="204">
        <f>L71+L72+L73+L74</f>
        <v>0</v>
      </c>
      <c r="M70" s="249">
        <f>L70/(H70+1E-106)*100-100</f>
        <v>-100</v>
      </c>
      <c r="N70" s="249">
        <f t="shared" si="9"/>
        <v>-440.5</v>
      </c>
      <c r="O70" s="248"/>
      <c r="P70" s="229">
        <f>P79+P97</f>
        <v>269.7</v>
      </c>
      <c r="Q70" s="205">
        <f>P70/(H70+1E-106)*100-100</f>
        <v>-38.77</v>
      </c>
      <c r="R70" s="423"/>
      <c r="S70" s="229">
        <f>P70</f>
        <v>269.7</v>
      </c>
      <c r="T70" s="423"/>
      <c r="U70" s="205">
        <f t="shared" si="10"/>
        <v>0</v>
      </c>
      <c r="V70" s="205">
        <f t="shared" si="11"/>
        <v>-38.77</v>
      </c>
      <c r="W70" s="205">
        <f t="shared" si="7"/>
        <v>-170.8</v>
      </c>
      <c r="X70" s="206"/>
      <c r="Y70" s="254"/>
      <c r="AB70" s="251"/>
    </row>
    <row r="71" spans="1:28" ht="12" customHeight="1" hidden="1">
      <c r="A71" s="51"/>
      <c r="B71" s="40" t="s">
        <v>120</v>
      </c>
      <c r="C71" s="31" t="s">
        <v>44</v>
      </c>
      <c r="D71" s="217" t="s">
        <v>143</v>
      </c>
      <c r="E71" s="237">
        <f>E79+E104</f>
        <v>0</v>
      </c>
      <c r="F71" s="220">
        <v>6407.65</v>
      </c>
      <c r="G71" s="219"/>
      <c r="H71" s="98">
        <v>440.5</v>
      </c>
      <c r="I71" s="98"/>
      <c r="J71" s="365"/>
      <c r="K71" s="90">
        <f t="shared" si="8"/>
        <v>-100</v>
      </c>
      <c r="L71" s="220">
        <f>L104</f>
        <v>0</v>
      </c>
      <c r="M71" s="90"/>
      <c r="N71" s="91">
        <f t="shared" si="9"/>
        <v>0</v>
      </c>
      <c r="O71" s="106"/>
      <c r="P71" s="220">
        <f>P104</f>
        <v>0</v>
      </c>
      <c r="Q71" s="212"/>
      <c r="R71" s="429"/>
      <c r="S71" s="220">
        <f>S104</f>
        <v>0</v>
      </c>
      <c r="T71" s="421"/>
      <c r="U71" s="212">
        <f t="shared" si="10"/>
        <v>-100</v>
      </c>
      <c r="V71" s="212">
        <f t="shared" si="11"/>
        <v>-100</v>
      </c>
      <c r="W71" s="211">
        <f t="shared" si="7"/>
        <v>0</v>
      </c>
      <c r="X71" s="212"/>
      <c r="Y71" s="161"/>
      <c r="AA71" s="7"/>
      <c r="AB71" s="9"/>
    </row>
    <row r="72" spans="1:28" ht="12" customHeight="1" hidden="1">
      <c r="A72" s="51"/>
      <c r="B72" s="40" t="s">
        <v>121</v>
      </c>
      <c r="C72" s="31" t="s">
        <v>44</v>
      </c>
      <c r="D72" s="217" t="s">
        <v>143</v>
      </c>
      <c r="E72" s="237">
        <f>E85+E110</f>
        <v>0</v>
      </c>
      <c r="F72" s="220"/>
      <c r="G72" s="219"/>
      <c r="H72" s="98"/>
      <c r="I72" s="98"/>
      <c r="J72" s="369">
        <v>46.81</v>
      </c>
      <c r="K72" s="90">
        <f t="shared" si="8"/>
        <v>4.681E+136</v>
      </c>
      <c r="L72" s="220">
        <f>L110</f>
        <v>0</v>
      </c>
      <c r="M72" s="90"/>
      <c r="N72" s="91">
        <f t="shared" si="9"/>
        <v>-46.81</v>
      </c>
      <c r="O72" s="106"/>
      <c r="P72" s="220">
        <f>P110</f>
        <v>269.68</v>
      </c>
      <c r="Q72" s="212"/>
      <c r="R72" s="429"/>
      <c r="S72" s="220">
        <f>S110</f>
        <v>0</v>
      </c>
      <c r="T72" s="421"/>
      <c r="U72" s="212">
        <f t="shared" si="10"/>
        <v>-100</v>
      </c>
      <c r="V72" s="212">
        <f t="shared" si="11"/>
        <v>-100</v>
      </c>
      <c r="W72" s="211">
        <f t="shared" si="7"/>
        <v>-46.8</v>
      </c>
      <c r="X72" s="212"/>
      <c r="Y72" s="161"/>
      <c r="AA72" s="7"/>
      <c r="AB72" s="9"/>
    </row>
    <row r="73" spans="1:28" ht="12" customHeight="1" hidden="1">
      <c r="A73" s="51"/>
      <c r="B73" s="40" t="s">
        <v>122</v>
      </c>
      <c r="C73" s="31" t="s">
        <v>44</v>
      </c>
      <c r="D73" s="217" t="s">
        <v>143</v>
      </c>
      <c r="E73" s="237">
        <f>E91+E116</f>
        <v>0</v>
      </c>
      <c r="F73" s="220"/>
      <c r="G73" s="219"/>
      <c r="H73" s="98"/>
      <c r="I73" s="98"/>
      <c r="J73" s="365"/>
      <c r="K73" s="90">
        <f t="shared" si="8"/>
        <v>-100</v>
      </c>
      <c r="L73" s="220">
        <f>L116</f>
        <v>0</v>
      </c>
      <c r="M73" s="90"/>
      <c r="N73" s="91">
        <f t="shared" si="9"/>
        <v>0</v>
      </c>
      <c r="O73" s="106"/>
      <c r="P73" s="220">
        <f>P116</f>
        <v>0</v>
      </c>
      <c r="Q73" s="212"/>
      <c r="R73" s="429"/>
      <c r="S73" s="220">
        <f>S116</f>
        <v>0</v>
      </c>
      <c r="T73" s="421"/>
      <c r="U73" s="212">
        <f t="shared" si="10"/>
        <v>-100</v>
      </c>
      <c r="V73" s="212">
        <f t="shared" si="11"/>
        <v>-100</v>
      </c>
      <c r="W73" s="211">
        <f t="shared" si="7"/>
        <v>0</v>
      </c>
      <c r="X73" s="212"/>
      <c r="Y73" s="161"/>
      <c r="AA73" s="7"/>
      <c r="AB73" s="9"/>
    </row>
    <row r="74" spans="1:28" ht="12" customHeight="1" hidden="1">
      <c r="A74" s="51"/>
      <c r="B74" s="40" t="s">
        <v>123</v>
      </c>
      <c r="C74" s="31" t="s">
        <v>44</v>
      </c>
      <c r="D74" s="217" t="s">
        <v>143</v>
      </c>
      <c r="E74" s="237">
        <f>E97+E122</f>
        <v>0</v>
      </c>
      <c r="F74" s="220"/>
      <c r="G74" s="219"/>
      <c r="H74" s="98"/>
      <c r="I74" s="98"/>
      <c r="J74" s="365"/>
      <c r="K74" s="90">
        <f t="shared" si="8"/>
        <v>-100</v>
      </c>
      <c r="L74" s="220">
        <f>L122</f>
        <v>0</v>
      </c>
      <c r="M74" s="90"/>
      <c r="N74" s="91">
        <f t="shared" si="9"/>
        <v>0</v>
      </c>
      <c r="O74" s="106"/>
      <c r="P74" s="220">
        <f>P122</f>
        <v>0</v>
      </c>
      <c r="Q74" s="212"/>
      <c r="R74" s="429"/>
      <c r="S74" s="220">
        <f>S122</f>
        <v>0</v>
      </c>
      <c r="T74" s="421"/>
      <c r="U74" s="212">
        <f t="shared" si="10"/>
        <v>-100</v>
      </c>
      <c r="V74" s="212">
        <f t="shared" si="11"/>
        <v>-100</v>
      </c>
      <c r="W74" s="211">
        <f t="shared" si="7"/>
        <v>0</v>
      </c>
      <c r="X74" s="212"/>
      <c r="Y74" s="161"/>
      <c r="AA74" s="7"/>
      <c r="AB74" s="9"/>
    </row>
    <row r="75" spans="1:28" ht="12" customHeight="1" hidden="1">
      <c r="A75" s="51"/>
      <c r="B75" s="39" t="s">
        <v>156</v>
      </c>
      <c r="C75" s="31"/>
      <c r="D75" s="214"/>
      <c r="E75" s="215"/>
      <c r="F75" s="214"/>
      <c r="G75" s="386"/>
      <c r="H75" s="98"/>
      <c r="I75" s="98"/>
      <c r="J75" s="365"/>
      <c r="K75" s="90"/>
      <c r="L75" s="213"/>
      <c r="M75" s="90"/>
      <c r="N75" s="91"/>
      <c r="O75" s="106"/>
      <c r="P75" s="256"/>
      <c r="Q75" s="212"/>
      <c r="R75" s="429"/>
      <c r="S75" s="256"/>
      <c r="T75" s="429"/>
      <c r="U75" s="212">
        <f t="shared" si="10"/>
        <v>-100</v>
      </c>
      <c r="V75" s="212">
        <f t="shared" si="11"/>
        <v>-100</v>
      </c>
      <c r="W75" s="211">
        <f t="shared" si="7"/>
        <v>0</v>
      </c>
      <c r="X75" s="212"/>
      <c r="Y75" s="161"/>
      <c r="AA75" s="7"/>
      <c r="AB75" s="9"/>
    </row>
    <row r="76" spans="1:28" ht="12" customHeight="1" hidden="1">
      <c r="A76" s="51" t="s">
        <v>62</v>
      </c>
      <c r="B76" s="39" t="s">
        <v>157</v>
      </c>
      <c r="C76" s="31" t="s">
        <v>44</v>
      </c>
      <c r="D76" s="257">
        <f>D79+D85+D91+D97</f>
        <v>0</v>
      </c>
      <c r="E76" s="258">
        <f>E79+E85+E91+E97</f>
        <v>0</v>
      </c>
      <c r="F76" s="257">
        <v>6407.65</v>
      </c>
      <c r="G76" s="258"/>
      <c r="H76" s="157">
        <v>440.5</v>
      </c>
      <c r="I76" s="157"/>
      <c r="J76" s="370">
        <v>0</v>
      </c>
      <c r="K76" s="90">
        <f>J76/(H76+1E-133)*100-100</f>
        <v>-100</v>
      </c>
      <c r="L76" s="259">
        <f>L79+L85+L91+L97</f>
        <v>0</v>
      </c>
      <c r="M76" s="90">
        <f>L76/(H76+1E-106)*100-100</f>
        <v>-100</v>
      </c>
      <c r="N76" s="91">
        <f>L76-J76</f>
        <v>0</v>
      </c>
      <c r="O76" s="106"/>
      <c r="P76" s="256">
        <f>P79+P85+P91+P97</f>
        <v>269.7</v>
      </c>
      <c r="Q76" s="212">
        <f>P76/(H76+1E-106)*100-100</f>
        <v>-38.8</v>
      </c>
      <c r="R76" s="429"/>
      <c r="S76" s="256">
        <f>S79+S85+S91+S97</f>
        <v>269.7</v>
      </c>
      <c r="T76" s="429"/>
      <c r="U76" s="212">
        <f t="shared" si="10"/>
        <v>0</v>
      </c>
      <c r="V76" s="212">
        <f t="shared" si="11"/>
        <v>-38.8</v>
      </c>
      <c r="W76" s="211">
        <f t="shared" si="7"/>
        <v>269.7</v>
      </c>
      <c r="X76" s="212"/>
      <c r="Y76" s="161"/>
      <c r="AA76" s="7"/>
      <c r="AB76" s="9"/>
    </row>
    <row r="77" spans="1:28" ht="12" customHeight="1" hidden="1">
      <c r="A77" s="51"/>
      <c r="B77" s="40" t="s">
        <v>159</v>
      </c>
      <c r="C77" s="147"/>
      <c r="D77" s="214">
        <v>100</v>
      </c>
      <c r="E77" s="225">
        <f>(E79+E85+E91+E97)/(E70+1E-122)*100</f>
        <v>0</v>
      </c>
      <c r="F77" s="217">
        <v>100</v>
      </c>
      <c r="G77" s="218"/>
      <c r="H77" s="98">
        <v>100</v>
      </c>
      <c r="I77" s="98"/>
      <c r="J77" s="365"/>
      <c r="K77" s="90"/>
      <c r="L77" s="213"/>
      <c r="M77" s="90"/>
      <c r="N77" s="91"/>
      <c r="O77" s="106"/>
      <c r="P77" s="256"/>
      <c r="Q77" s="212"/>
      <c r="R77" s="429"/>
      <c r="S77" s="256"/>
      <c r="T77" s="429"/>
      <c r="U77" s="212">
        <f t="shared" si="10"/>
        <v>-100</v>
      </c>
      <c r="V77" s="212">
        <f t="shared" si="11"/>
        <v>-100</v>
      </c>
      <c r="W77" s="211">
        <f t="shared" si="7"/>
        <v>0</v>
      </c>
      <c r="X77" s="212"/>
      <c r="Y77" s="161"/>
      <c r="AA77" s="7"/>
      <c r="AB77" s="9"/>
    </row>
    <row r="78" spans="1:28" ht="12" customHeight="1">
      <c r="A78" s="1" t="s">
        <v>62</v>
      </c>
      <c r="B78" s="39" t="s">
        <v>120</v>
      </c>
      <c r="C78" s="31"/>
      <c r="D78" s="217"/>
      <c r="E78" s="225"/>
      <c r="F78" s="217"/>
      <c r="G78" s="218"/>
      <c r="H78" s="105"/>
      <c r="I78" s="105"/>
      <c r="J78" s="226"/>
      <c r="K78" s="106"/>
      <c r="L78" s="220"/>
      <c r="M78" s="90"/>
      <c r="N78" s="91"/>
      <c r="O78" s="106"/>
      <c r="P78" s="256"/>
      <c r="Q78" s="212"/>
      <c r="R78" s="429"/>
      <c r="S78" s="256"/>
      <c r="T78" s="429"/>
      <c r="U78" s="212"/>
      <c r="V78" s="212"/>
      <c r="W78" s="211"/>
      <c r="X78" s="212"/>
      <c r="Y78" s="161"/>
      <c r="AA78" s="7"/>
      <c r="AB78" s="9"/>
    </row>
    <row r="79" spans="1:28" ht="12" customHeight="1">
      <c r="A79" s="1"/>
      <c r="B79" s="40" t="s">
        <v>28</v>
      </c>
      <c r="C79" s="31" t="s">
        <v>44</v>
      </c>
      <c r="D79" s="214"/>
      <c r="E79" s="215"/>
      <c r="F79" s="214">
        <v>6407.65</v>
      </c>
      <c r="G79" s="386">
        <v>345.1</v>
      </c>
      <c r="H79" s="105">
        <f>H69*H9/1000</f>
        <v>269.68</v>
      </c>
      <c r="I79" s="105">
        <v>345.1</v>
      </c>
      <c r="J79" s="107">
        <f>J69*J9/1000</f>
        <v>345.1</v>
      </c>
      <c r="K79" s="90">
        <f>J79/(H79+1E-133)*100-100</f>
        <v>28</v>
      </c>
      <c r="L79" s="220"/>
      <c r="M79" s="90">
        <f>L79/(H79+1E-106)*100-100</f>
        <v>-100</v>
      </c>
      <c r="N79" s="91">
        <f>L79-J79</f>
        <v>-345.1</v>
      </c>
      <c r="O79" s="106"/>
      <c r="P79" s="256">
        <f>P69*P9/1000</f>
        <v>269.7</v>
      </c>
      <c r="Q79" s="212">
        <f>P79/(H79+1E-106)*100-100</f>
        <v>0</v>
      </c>
      <c r="R79" s="429">
        <f>R69*R9/1000</f>
        <v>269.7</v>
      </c>
      <c r="S79" s="256">
        <f>P79</f>
        <v>269.7</v>
      </c>
      <c r="T79" s="429">
        <v>269.7</v>
      </c>
      <c r="U79" s="212">
        <f aca="true" t="shared" si="12" ref="U79:U95">S79/(P79+1E-106)*100-100</f>
        <v>0</v>
      </c>
      <c r="V79" s="212">
        <f aca="true" t="shared" si="13" ref="V79:V95">S79/(H79+1E-106)*100-100</f>
        <v>0</v>
      </c>
      <c r="W79" s="211">
        <f aca="true" t="shared" si="14" ref="W79:W95">S79-J79</f>
        <v>-75.4</v>
      </c>
      <c r="X79" s="212"/>
      <c r="Y79" s="161"/>
      <c r="AA79" s="7"/>
      <c r="AB79" s="9"/>
    </row>
    <row r="80" spans="1:28" ht="12" customHeight="1">
      <c r="A80" s="51"/>
      <c r="B80" s="39" t="s">
        <v>33</v>
      </c>
      <c r="C80" s="52" t="s">
        <v>45</v>
      </c>
      <c r="D80" s="247"/>
      <c r="E80" s="248">
        <f>E142/(E79+1E-107)</f>
        <v>0</v>
      </c>
      <c r="F80" s="204">
        <v>3.81</v>
      </c>
      <c r="G80" s="255">
        <v>3.86</v>
      </c>
      <c r="H80" s="126">
        <v>3.1</v>
      </c>
      <c r="I80" s="126">
        <v>3.86</v>
      </c>
      <c r="J80" s="366">
        <f>G80*1.08</f>
        <v>4.17</v>
      </c>
      <c r="K80" s="249">
        <f>J80/(H80+1E-133)*100-100</f>
        <v>34.52</v>
      </c>
      <c r="L80" s="247"/>
      <c r="M80" s="249">
        <f>L80/(H80+1E-106)*100-100</f>
        <v>-100</v>
      </c>
      <c r="N80" s="249">
        <f>L80-J80</f>
        <v>-4.17</v>
      </c>
      <c r="O80" s="248"/>
      <c r="P80" s="229">
        <v>3.1</v>
      </c>
      <c r="Q80" s="205">
        <f>P80/(H80+1E-106)*100-100</f>
        <v>0</v>
      </c>
      <c r="R80" s="423">
        <f>P80*1.18</f>
        <v>3.66</v>
      </c>
      <c r="S80" s="229">
        <f>P80*1.08</f>
        <v>3.35</v>
      </c>
      <c r="T80" s="423">
        <f>S80*1.18</f>
        <v>3.95</v>
      </c>
      <c r="U80" s="205">
        <f t="shared" si="12"/>
        <v>8.06</v>
      </c>
      <c r="V80" s="205">
        <f t="shared" si="13"/>
        <v>8.06</v>
      </c>
      <c r="W80" s="207">
        <f t="shared" si="14"/>
        <v>-0.8</v>
      </c>
      <c r="X80" s="205"/>
      <c r="Y80" s="238" t="s">
        <v>237</v>
      </c>
      <c r="AA80" s="7"/>
      <c r="AB80" s="9"/>
    </row>
    <row r="81" spans="1:28" ht="12" customHeight="1" hidden="1">
      <c r="A81" s="1"/>
      <c r="B81" s="40" t="s">
        <v>147</v>
      </c>
      <c r="C81" s="31" t="s">
        <v>132</v>
      </c>
      <c r="D81" s="214"/>
      <c r="E81" s="215"/>
      <c r="F81" s="214">
        <v>8040</v>
      </c>
      <c r="G81" s="386"/>
      <c r="H81" s="109">
        <v>8040</v>
      </c>
      <c r="I81" s="109"/>
      <c r="J81" s="365"/>
      <c r="K81" s="90"/>
      <c r="L81" s="213"/>
      <c r="M81" s="90"/>
      <c r="N81" s="91"/>
      <c r="O81" s="106"/>
      <c r="P81" s="260"/>
      <c r="Q81" s="211"/>
      <c r="R81" s="425"/>
      <c r="S81" s="260"/>
      <c r="T81" s="430"/>
      <c r="U81" s="212">
        <f t="shared" si="12"/>
        <v>-100</v>
      </c>
      <c r="V81" s="212">
        <f t="shared" si="13"/>
        <v>-100</v>
      </c>
      <c r="W81" s="211">
        <f t="shared" si="14"/>
        <v>0</v>
      </c>
      <c r="X81" s="211"/>
      <c r="Y81" s="77"/>
      <c r="AA81" s="7"/>
      <c r="AB81" s="9"/>
    </row>
    <row r="82" spans="1:28" ht="12" customHeight="1" hidden="1">
      <c r="A82" s="1"/>
      <c r="B82" s="40" t="s">
        <v>188</v>
      </c>
      <c r="C82" s="150" t="s">
        <v>161</v>
      </c>
      <c r="D82" s="217" t="s">
        <v>160</v>
      </c>
      <c r="E82" s="225" t="s">
        <v>160</v>
      </c>
      <c r="F82" s="217"/>
      <c r="G82" s="218"/>
      <c r="H82" s="109"/>
      <c r="I82" s="109"/>
      <c r="J82" s="365"/>
      <c r="K82" s="90">
        <f>J82/(H82+1E-133)*100-100</f>
        <v>-100</v>
      </c>
      <c r="L82" s="213"/>
      <c r="M82" s="90">
        <f>L82/(H82+1E-106)*100-100</f>
        <v>-100</v>
      </c>
      <c r="N82" s="91">
        <f>L82-J82</f>
        <v>0</v>
      </c>
      <c r="O82" s="106"/>
      <c r="P82" s="260"/>
      <c r="Q82" s="211">
        <f>P82/(H82+1E-106)*100-100</f>
        <v>-100</v>
      </c>
      <c r="R82" s="425"/>
      <c r="S82" s="260"/>
      <c r="T82" s="430"/>
      <c r="U82" s="212">
        <f t="shared" si="12"/>
        <v>-100</v>
      </c>
      <c r="V82" s="212">
        <f t="shared" si="13"/>
        <v>-100</v>
      </c>
      <c r="W82" s="211">
        <f t="shared" si="14"/>
        <v>0</v>
      </c>
      <c r="X82" s="211"/>
      <c r="Y82" s="77"/>
      <c r="AA82" s="7"/>
      <c r="AB82" s="9"/>
    </row>
    <row r="83" spans="1:28" ht="12" customHeight="1" hidden="1">
      <c r="A83" s="1"/>
      <c r="B83" s="40" t="s">
        <v>182</v>
      </c>
      <c r="C83" s="31" t="s">
        <v>162</v>
      </c>
      <c r="D83" s="217" t="s">
        <v>160</v>
      </c>
      <c r="E83" s="225" t="s">
        <v>160</v>
      </c>
      <c r="F83" s="217">
        <v>731</v>
      </c>
      <c r="G83" s="218"/>
      <c r="H83" s="358"/>
      <c r="I83" s="358"/>
      <c r="J83" s="365"/>
      <c r="K83" s="90">
        <f>J83/(H83+1E-133)*100-100</f>
        <v>-100</v>
      </c>
      <c r="L83" s="213"/>
      <c r="M83" s="90">
        <f>L83/(H83+1E-106)*100-100</f>
        <v>-100</v>
      </c>
      <c r="N83" s="91">
        <f>L83-J83</f>
        <v>0</v>
      </c>
      <c r="O83" s="106"/>
      <c r="P83" s="260"/>
      <c r="Q83" s="211">
        <f>P83/(H83+1E-106)*100-100</f>
        <v>-100</v>
      </c>
      <c r="R83" s="425"/>
      <c r="S83" s="260"/>
      <c r="T83" s="430"/>
      <c r="U83" s="212">
        <f t="shared" si="12"/>
        <v>-100</v>
      </c>
      <c r="V83" s="212">
        <f t="shared" si="13"/>
        <v>-100</v>
      </c>
      <c r="W83" s="211">
        <f t="shared" si="14"/>
        <v>0</v>
      </c>
      <c r="X83" s="211"/>
      <c r="Y83" s="77"/>
      <c r="AA83" s="7"/>
      <c r="AB83" s="9"/>
    </row>
    <row r="84" spans="1:28" ht="12" customHeight="1" hidden="1">
      <c r="A84" s="1" t="s">
        <v>62</v>
      </c>
      <c r="B84" s="39" t="s">
        <v>121</v>
      </c>
      <c r="C84" s="31"/>
      <c r="D84" s="217"/>
      <c r="E84" s="225"/>
      <c r="F84" s="217"/>
      <c r="G84" s="218"/>
      <c r="H84" s="148"/>
      <c r="I84" s="148"/>
      <c r="J84" s="226"/>
      <c r="K84" s="106"/>
      <c r="L84" s="220"/>
      <c r="M84" s="90"/>
      <c r="N84" s="91"/>
      <c r="O84" s="106"/>
      <c r="P84" s="260"/>
      <c r="Q84" s="211"/>
      <c r="R84" s="425"/>
      <c r="S84" s="260"/>
      <c r="T84" s="430"/>
      <c r="U84" s="212">
        <f t="shared" si="12"/>
        <v>-100</v>
      </c>
      <c r="V84" s="212">
        <f t="shared" si="13"/>
        <v>-100</v>
      </c>
      <c r="W84" s="211">
        <f t="shared" si="14"/>
        <v>0</v>
      </c>
      <c r="X84" s="211"/>
      <c r="Y84" s="77"/>
      <c r="AA84" s="7"/>
      <c r="AB84" s="9"/>
    </row>
    <row r="85" spans="1:28" ht="12" customHeight="1" hidden="1">
      <c r="A85" s="1"/>
      <c r="B85" s="40" t="s">
        <v>28</v>
      </c>
      <c r="C85" s="31" t="s">
        <v>44</v>
      </c>
      <c r="D85" s="214"/>
      <c r="E85" s="215"/>
      <c r="F85" s="214">
        <v>0</v>
      </c>
      <c r="G85" s="386"/>
      <c r="H85" s="105">
        <v>0</v>
      </c>
      <c r="I85" s="105"/>
      <c r="J85" s="226">
        <v>0</v>
      </c>
      <c r="K85" s="90">
        <f>J85/(H85+1E-133)*100-100</f>
        <v>-100</v>
      </c>
      <c r="L85" s="220"/>
      <c r="M85" s="90">
        <f>L85/(H85+1E-106)*100-100</f>
        <v>-100</v>
      </c>
      <c r="N85" s="91">
        <f>L85-J85</f>
        <v>0</v>
      </c>
      <c r="O85" s="106"/>
      <c r="P85" s="260"/>
      <c r="Q85" s="211">
        <f>P85/(H85+1E-106)*100-100</f>
        <v>-100</v>
      </c>
      <c r="R85" s="425"/>
      <c r="S85" s="260"/>
      <c r="T85" s="430"/>
      <c r="U85" s="212">
        <f t="shared" si="12"/>
        <v>-100</v>
      </c>
      <c r="V85" s="212">
        <f t="shared" si="13"/>
        <v>-100</v>
      </c>
      <c r="W85" s="211">
        <f t="shared" si="14"/>
        <v>0</v>
      </c>
      <c r="X85" s="211"/>
      <c r="Y85" s="77"/>
      <c r="AA85" s="7"/>
      <c r="AB85" s="9"/>
    </row>
    <row r="86" spans="1:28" s="250" customFormat="1" ht="12" customHeight="1" hidden="1">
      <c r="A86" s="51"/>
      <c r="B86" s="39" t="s">
        <v>33</v>
      </c>
      <c r="C86" s="52" t="s">
        <v>45</v>
      </c>
      <c r="D86" s="261"/>
      <c r="E86" s="262">
        <f>E143/(E85+1E-107)</f>
        <v>0</v>
      </c>
      <c r="F86" s="360"/>
      <c r="G86" s="388"/>
      <c r="H86" s="109"/>
      <c r="I86" s="109"/>
      <c r="J86" s="365"/>
      <c r="K86" s="88">
        <f>J86/(H86+1E-133)*100-100</f>
        <v>-100</v>
      </c>
      <c r="L86" s="247"/>
      <c r="M86" s="88">
        <f>L86/(H86+1E-106)*100-100</f>
        <v>-100</v>
      </c>
      <c r="N86" s="89">
        <f>L86-J86</f>
        <v>0</v>
      </c>
      <c r="O86" s="87"/>
      <c r="P86" s="263"/>
      <c r="Q86" s="264">
        <f>P86/(H86+1E-106)*100-100</f>
        <v>-100</v>
      </c>
      <c r="R86" s="431"/>
      <c r="S86" s="263"/>
      <c r="T86" s="431"/>
      <c r="U86" s="206">
        <f t="shared" si="12"/>
        <v>-100</v>
      </c>
      <c r="V86" s="206">
        <f t="shared" si="13"/>
        <v>-100</v>
      </c>
      <c r="W86" s="207">
        <f t="shared" si="14"/>
        <v>0</v>
      </c>
      <c r="X86" s="264"/>
      <c r="Y86" s="77"/>
      <c r="AB86" s="251"/>
    </row>
    <row r="87" spans="1:28" ht="12" customHeight="1" hidden="1">
      <c r="A87" s="1"/>
      <c r="B87" s="40" t="s">
        <v>147</v>
      </c>
      <c r="C87" s="31" t="s">
        <v>132</v>
      </c>
      <c r="D87" s="214"/>
      <c r="E87" s="215"/>
      <c r="F87" s="214"/>
      <c r="G87" s="386"/>
      <c r="H87" s="109"/>
      <c r="I87" s="109"/>
      <c r="J87" s="365"/>
      <c r="K87" s="90"/>
      <c r="L87" s="213"/>
      <c r="M87" s="90"/>
      <c r="N87" s="91"/>
      <c r="O87" s="106"/>
      <c r="P87" s="260"/>
      <c r="Q87" s="211"/>
      <c r="R87" s="425"/>
      <c r="S87" s="260"/>
      <c r="T87" s="430"/>
      <c r="U87" s="212">
        <f t="shared" si="12"/>
        <v>-100</v>
      </c>
      <c r="V87" s="212">
        <f t="shared" si="13"/>
        <v>-100</v>
      </c>
      <c r="W87" s="211">
        <f t="shared" si="14"/>
        <v>0</v>
      </c>
      <c r="X87" s="211"/>
      <c r="Y87" s="77"/>
      <c r="AA87" s="7"/>
      <c r="AB87" s="9"/>
    </row>
    <row r="88" spans="1:28" ht="12" customHeight="1" hidden="1">
      <c r="A88" s="1"/>
      <c r="B88" s="40" t="s">
        <v>188</v>
      </c>
      <c r="C88" s="150" t="s">
        <v>161</v>
      </c>
      <c r="D88" s="217" t="s">
        <v>160</v>
      </c>
      <c r="E88" s="225" t="s">
        <v>160</v>
      </c>
      <c r="F88" s="217"/>
      <c r="G88" s="218"/>
      <c r="H88" s="109"/>
      <c r="I88" s="109"/>
      <c r="J88" s="365"/>
      <c r="K88" s="90">
        <f>J88/(H88+1E-133)*100-100</f>
        <v>-100</v>
      </c>
      <c r="L88" s="213"/>
      <c r="M88" s="90">
        <f>L88/(H88+1E-106)*100-100</f>
        <v>-100</v>
      </c>
      <c r="N88" s="91">
        <f>L88-J88</f>
        <v>0</v>
      </c>
      <c r="O88" s="106"/>
      <c r="P88" s="260"/>
      <c r="Q88" s="211">
        <f>P88/(H88+1E-106)*100-100</f>
        <v>-100</v>
      </c>
      <c r="R88" s="425"/>
      <c r="S88" s="260"/>
      <c r="T88" s="430"/>
      <c r="U88" s="212">
        <f t="shared" si="12"/>
        <v>-100</v>
      </c>
      <c r="V88" s="212">
        <f t="shared" si="13"/>
        <v>-100</v>
      </c>
      <c r="W88" s="211">
        <f t="shared" si="14"/>
        <v>0</v>
      </c>
      <c r="X88" s="211"/>
      <c r="Y88" s="77"/>
      <c r="AA88" s="7"/>
      <c r="AB88" s="9"/>
    </row>
    <row r="89" spans="1:28" ht="12" customHeight="1" hidden="1">
      <c r="A89" s="1"/>
      <c r="B89" s="40" t="s">
        <v>182</v>
      </c>
      <c r="C89" s="31" t="s">
        <v>162</v>
      </c>
      <c r="D89" s="217" t="s">
        <v>160</v>
      </c>
      <c r="E89" s="225" t="s">
        <v>160</v>
      </c>
      <c r="F89" s="217"/>
      <c r="G89" s="218"/>
      <c r="H89" s="109"/>
      <c r="I89" s="109"/>
      <c r="J89" s="365"/>
      <c r="K89" s="90">
        <f>J89/(H89+1E-133)*100-100</f>
        <v>-100</v>
      </c>
      <c r="L89" s="213"/>
      <c r="M89" s="90">
        <f>L89/(H89+1E-106)*100-100</f>
        <v>-100</v>
      </c>
      <c r="N89" s="91">
        <f>L89-J89</f>
        <v>0</v>
      </c>
      <c r="O89" s="106"/>
      <c r="P89" s="260"/>
      <c r="Q89" s="211">
        <f>P89/(H89+1E-106)*100-100</f>
        <v>-100</v>
      </c>
      <c r="R89" s="425"/>
      <c r="S89" s="260"/>
      <c r="T89" s="430"/>
      <c r="U89" s="212">
        <f t="shared" si="12"/>
        <v>-100</v>
      </c>
      <c r="V89" s="212">
        <f t="shared" si="13"/>
        <v>-100</v>
      </c>
      <c r="W89" s="211">
        <f t="shared" si="14"/>
        <v>0</v>
      </c>
      <c r="X89" s="211"/>
      <c r="Y89" s="77"/>
      <c r="AA89" s="7"/>
      <c r="AB89" s="9"/>
    </row>
    <row r="90" spans="1:28" ht="12" customHeight="1" hidden="1">
      <c r="A90" s="1" t="s">
        <v>62</v>
      </c>
      <c r="B90" s="39" t="s">
        <v>122</v>
      </c>
      <c r="C90" s="31"/>
      <c r="D90" s="217"/>
      <c r="E90" s="225"/>
      <c r="F90" s="217"/>
      <c r="G90" s="218"/>
      <c r="H90" s="148"/>
      <c r="I90" s="148"/>
      <c r="J90" s="226"/>
      <c r="K90" s="106"/>
      <c r="L90" s="220"/>
      <c r="M90" s="90"/>
      <c r="N90" s="91"/>
      <c r="O90" s="106"/>
      <c r="P90" s="260"/>
      <c r="Q90" s="211"/>
      <c r="R90" s="425"/>
      <c r="S90" s="260"/>
      <c r="T90" s="430"/>
      <c r="U90" s="212">
        <f t="shared" si="12"/>
        <v>-100</v>
      </c>
      <c r="V90" s="212">
        <f t="shared" si="13"/>
        <v>-100</v>
      </c>
      <c r="W90" s="211">
        <f t="shared" si="14"/>
        <v>0</v>
      </c>
      <c r="X90" s="211"/>
      <c r="Y90" s="77"/>
      <c r="AA90" s="7"/>
      <c r="AB90" s="9"/>
    </row>
    <row r="91" spans="1:28" ht="12" customHeight="1" hidden="1">
      <c r="A91" s="1"/>
      <c r="B91" s="40" t="s">
        <v>28</v>
      </c>
      <c r="C91" s="31" t="s">
        <v>44</v>
      </c>
      <c r="D91" s="214"/>
      <c r="E91" s="215"/>
      <c r="F91" s="214">
        <v>0</v>
      </c>
      <c r="G91" s="386"/>
      <c r="H91" s="105">
        <v>0</v>
      </c>
      <c r="I91" s="105"/>
      <c r="J91" s="226">
        <v>0</v>
      </c>
      <c r="K91" s="90">
        <f>J91/(H91+1E-133)*100-100</f>
        <v>-100</v>
      </c>
      <c r="L91" s="220"/>
      <c r="M91" s="90">
        <f>L91/(H91+1E-106)*100-100</f>
        <v>-100</v>
      </c>
      <c r="N91" s="91">
        <f>L91-J91</f>
        <v>0</v>
      </c>
      <c r="O91" s="106"/>
      <c r="P91" s="260"/>
      <c r="Q91" s="211">
        <f>P91/(H91+1E-106)*100-100</f>
        <v>-100</v>
      </c>
      <c r="R91" s="425"/>
      <c r="S91" s="260"/>
      <c r="T91" s="430"/>
      <c r="U91" s="212">
        <f t="shared" si="12"/>
        <v>-100</v>
      </c>
      <c r="V91" s="212">
        <f t="shared" si="13"/>
        <v>-100</v>
      </c>
      <c r="W91" s="211">
        <f t="shared" si="14"/>
        <v>0</v>
      </c>
      <c r="X91" s="211"/>
      <c r="Y91" s="77"/>
      <c r="AA91" s="7"/>
      <c r="AB91" s="9"/>
    </row>
    <row r="92" spans="1:28" s="250" customFormat="1" ht="12" customHeight="1" hidden="1">
      <c r="A92" s="51"/>
      <c r="B92" s="39" t="s">
        <v>33</v>
      </c>
      <c r="C92" s="52" t="s">
        <v>45</v>
      </c>
      <c r="D92" s="261"/>
      <c r="E92" s="262">
        <f>E144/(E91+1E-107)</f>
        <v>0</v>
      </c>
      <c r="F92" s="360"/>
      <c r="G92" s="388"/>
      <c r="H92" s="109"/>
      <c r="I92" s="109"/>
      <c r="J92" s="365"/>
      <c r="K92" s="88">
        <f>J92/(H92+1E-133)*100-100</f>
        <v>-100</v>
      </c>
      <c r="L92" s="247"/>
      <c r="M92" s="88">
        <f>L92/(H92+1E-106)*100-100</f>
        <v>-100</v>
      </c>
      <c r="N92" s="89">
        <f>L92-J92</f>
        <v>0</v>
      </c>
      <c r="O92" s="87"/>
      <c r="P92" s="229"/>
      <c r="Q92" s="205">
        <f>P92/(H92+1E-106)*100-100</f>
        <v>-100</v>
      </c>
      <c r="R92" s="423"/>
      <c r="S92" s="229"/>
      <c r="T92" s="423"/>
      <c r="U92" s="206">
        <f t="shared" si="12"/>
        <v>-100</v>
      </c>
      <c r="V92" s="206">
        <f t="shared" si="13"/>
        <v>-100</v>
      </c>
      <c r="W92" s="207">
        <f t="shared" si="14"/>
        <v>0</v>
      </c>
      <c r="X92" s="205"/>
      <c r="Y92" s="77"/>
      <c r="AB92" s="251"/>
    </row>
    <row r="93" spans="1:28" ht="12" customHeight="1" hidden="1">
      <c r="A93" s="1"/>
      <c r="B93" s="40" t="s">
        <v>147</v>
      </c>
      <c r="C93" s="31" t="s">
        <v>132</v>
      </c>
      <c r="D93" s="214"/>
      <c r="E93" s="215"/>
      <c r="F93" s="214"/>
      <c r="G93" s="386"/>
      <c r="H93" s="109"/>
      <c r="I93" s="109"/>
      <c r="J93" s="365"/>
      <c r="K93" s="90"/>
      <c r="L93" s="213"/>
      <c r="M93" s="90"/>
      <c r="N93" s="91"/>
      <c r="O93" s="106"/>
      <c r="P93" s="260"/>
      <c r="Q93" s="211"/>
      <c r="R93" s="425"/>
      <c r="S93" s="260"/>
      <c r="T93" s="430"/>
      <c r="U93" s="212">
        <f t="shared" si="12"/>
        <v>-100</v>
      </c>
      <c r="V93" s="212">
        <f t="shared" si="13"/>
        <v>-100</v>
      </c>
      <c r="W93" s="211">
        <f t="shared" si="14"/>
        <v>0</v>
      </c>
      <c r="X93" s="211"/>
      <c r="Y93" s="77"/>
      <c r="AA93" s="7"/>
      <c r="AB93" s="9"/>
    </row>
    <row r="94" spans="1:28" ht="12" customHeight="1" hidden="1">
      <c r="A94" s="1"/>
      <c r="B94" s="40" t="s">
        <v>188</v>
      </c>
      <c r="C94" s="150" t="s">
        <v>161</v>
      </c>
      <c r="D94" s="217" t="s">
        <v>160</v>
      </c>
      <c r="E94" s="225" t="s">
        <v>160</v>
      </c>
      <c r="F94" s="217"/>
      <c r="G94" s="218"/>
      <c r="H94" s="109"/>
      <c r="I94" s="109"/>
      <c r="J94" s="365"/>
      <c r="K94" s="90">
        <f>J94/(H94+1E-133)*100-100</f>
        <v>-100</v>
      </c>
      <c r="L94" s="213"/>
      <c r="M94" s="90">
        <f>L94/(H94+1E-106)*100-100</f>
        <v>-100</v>
      </c>
      <c r="N94" s="91">
        <f>L94-J94</f>
        <v>0</v>
      </c>
      <c r="O94" s="106"/>
      <c r="P94" s="260"/>
      <c r="Q94" s="211">
        <f>P94/(H94+1E-106)*100-100</f>
        <v>-100</v>
      </c>
      <c r="R94" s="425"/>
      <c r="S94" s="260"/>
      <c r="T94" s="430"/>
      <c r="U94" s="212">
        <f t="shared" si="12"/>
        <v>-100</v>
      </c>
      <c r="V94" s="212">
        <f t="shared" si="13"/>
        <v>-100</v>
      </c>
      <c r="W94" s="211">
        <f t="shared" si="14"/>
        <v>0</v>
      </c>
      <c r="X94" s="211"/>
      <c r="Y94" s="77"/>
      <c r="AA94" s="7"/>
      <c r="AB94" s="9"/>
    </row>
    <row r="95" spans="1:28" ht="12" customHeight="1" hidden="1">
      <c r="A95" s="1"/>
      <c r="B95" s="40" t="s">
        <v>182</v>
      </c>
      <c r="C95" s="31" t="s">
        <v>162</v>
      </c>
      <c r="D95" s="217" t="s">
        <v>160</v>
      </c>
      <c r="E95" s="225" t="s">
        <v>160</v>
      </c>
      <c r="F95" s="217"/>
      <c r="G95" s="218"/>
      <c r="H95" s="109"/>
      <c r="I95" s="109"/>
      <c r="J95" s="365"/>
      <c r="K95" s="90">
        <f>J95/(H95+1E-133)*100-100</f>
        <v>-100</v>
      </c>
      <c r="L95" s="213"/>
      <c r="M95" s="90">
        <f>L95/(H95+1E-106)*100-100</f>
        <v>-100</v>
      </c>
      <c r="N95" s="91">
        <f>L95-J95</f>
        <v>0</v>
      </c>
      <c r="O95" s="106"/>
      <c r="P95" s="260"/>
      <c r="Q95" s="211">
        <f>P95/(H95+1E-106)*100-100</f>
        <v>-100</v>
      </c>
      <c r="R95" s="425"/>
      <c r="S95" s="260"/>
      <c r="T95" s="430"/>
      <c r="U95" s="212">
        <f t="shared" si="12"/>
        <v>-100</v>
      </c>
      <c r="V95" s="212">
        <f t="shared" si="13"/>
        <v>-100</v>
      </c>
      <c r="W95" s="211">
        <f t="shared" si="14"/>
        <v>0</v>
      </c>
      <c r="X95" s="211"/>
      <c r="Y95" s="77"/>
      <c r="AA95" s="7"/>
      <c r="AB95" s="9"/>
    </row>
    <row r="96" spans="1:28" ht="12" customHeight="1" hidden="1">
      <c r="A96" s="1" t="s">
        <v>62</v>
      </c>
      <c r="B96" s="39" t="s">
        <v>123</v>
      </c>
      <c r="C96" s="31"/>
      <c r="D96" s="217"/>
      <c r="E96" s="225"/>
      <c r="F96" s="217"/>
      <c r="G96" s="218"/>
      <c r="H96" s="148"/>
      <c r="I96" s="148"/>
      <c r="J96" s="226"/>
      <c r="K96" s="106"/>
      <c r="L96" s="220"/>
      <c r="M96" s="90"/>
      <c r="N96" s="91"/>
      <c r="O96" s="106"/>
      <c r="P96" s="260"/>
      <c r="Q96" s="211"/>
      <c r="R96" s="425"/>
      <c r="S96" s="260"/>
      <c r="T96" s="430"/>
      <c r="U96" s="212"/>
      <c r="V96" s="212"/>
      <c r="W96" s="211"/>
      <c r="X96" s="211"/>
      <c r="Y96" s="77"/>
      <c r="AA96" s="7"/>
      <c r="AB96" s="9"/>
    </row>
    <row r="97" spans="1:28" ht="12" customHeight="1" hidden="1">
      <c r="A97" s="1"/>
      <c r="B97" s="40" t="s">
        <v>28</v>
      </c>
      <c r="C97" s="31" t="s">
        <v>44</v>
      </c>
      <c r="D97" s="214"/>
      <c r="E97" s="215"/>
      <c r="F97" s="214">
        <v>0</v>
      </c>
      <c r="G97" s="386"/>
      <c r="H97" s="105">
        <v>0</v>
      </c>
      <c r="I97" s="105"/>
      <c r="J97" s="226">
        <f>H97</f>
        <v>0</v>
      </c>
      <c r="K97" s="90">
        <f>J97/(H97+1E-133)*100-100</f>
        <v>-100</v>
      </c>
      <c r="L97" s="220"/>
      <c r="M97" s="90">
        <f>L97/(H97+1E-106)*100-100</f>
        <v>-100</v>
      </c>
      <c r="N97" s="91">
        <f>L97-J97</f>
        <v>0</v>
      </c>
      <c r="O97" s="106"/>
      <c r="P97" s="260">
        <f>H97</f>
        <v>0</v>
      </c>
      <c r="Q97" s="211">
        <f>P97/(H97+1E-106)*100-100</f>
        <v>-100</v>
      </c>
      <c r="R97" s="425"/>
      <c r="S97" s="260">
        <f>P97</f>
        <v>0</v>
      </c>
      <c r="T97" s="430"/>
      <c r="U97" s="212">
        <f aca="true" t="shared" si="15" ref="U97:U126">S97/(P97+1E-106)*100-100</f>
        <v>-100</v>
      </c>
      <c r="V97" s="212">
        <f aca="true" t="shared" si="16" ref="V97:V126">S97/(H97+1E-106)*100-100</f>
        <v>-100</v>
      </c>
      <c r="W97" s="211">
        <f aca="true" t="shared" si="17" ref="W97:W126">S97-J97</f>
        <v>0</v>
      </c>
      <c r="X97" s="211"/>
      <c r="Y97" s="77"/>
      <c r="AA97" s="7"/>
      <c r="AB97" s="9"/>
    </row>
    <row r="98" spans="1:28" s="250" customFormat="1" ht="12" customHeight="1" hidden="1">
      <c r="A98" s="51"/>
      <c r="B98" s="39" t="s">
        <v>33</v>
      </c>
      <c r="C98" s="52" t="s">
        <v>45</v>
      </c>
      <c r="D98" s="261"/>
      <c r="E98" s="262">
        <f>E145/(E97+1E-107)</f>
        <v>0</v>
      </c>
      <c r="F98" s="360"/>
      <c r="G98" s="388"/>
      <c r="H98" s="109"/>
      <c r="I98" s="109"/>
      <c r="J98" s="365">
        <f>S98</f>
        <v>0</v>
      </c>
      <c r="K98" s="88">
        <f>J98/(H98+1E-133)*100-100</f>
        <v>-100</v>
      </c>
      <c r="L98" s="247"/>
      <c r="M98" s="88">
        <f>L98/(H98+1E-106)*100-100</f>
        <v>-100</v>
      </c>
      <c r="N98" s="89">
        <f>L98-J98</f>
        <v>0</v>
      </c>
      <c r="O98" s="87"/>
      <c r="P98" s="263">
        <f>H98</f>
        <v>0</v>
      </c>
      <c r="Q98" s="264">
        <f>P98/(H98+1E-106)*100-100</f>
        <v>-100</v>
      </c>
      <c r="R98" s="431"/>
      <c r="S98" s="229">
        <f>H98*1.08</f>
        <v>0</v>
      </c>
      <c r="T98" s="423"/>
      <c r="U98" s="206">
        <f t="shared" si="15"/>
        <v>-100</v>
      </c>
      <c r="V98" s="206">
        <f t="shared" si="16"/>
        <v>-100</v>
      </c>
      <c r="W98" s="207">
        <f t="shared" si="17"/>
        <v>0</v>
      </c>
      <c r="X98" s="264"/>
      <c r="Y98" s="238" t="s">
        <v>210</v>
      </c>
      <c r="AB98" s="251"/>
    </row>
    <row r="99" spans="1:28" ht="12" customHeight="1" hidden="1">
      <c r="A99" s="1"/>
      <c r="B99" s="40" t="s">
        <v>147</v>
      </c>
      <c r="C99" s="31" t="s">
        <v>132</v>
      </c>
      <c r="D99" s="214"/>
      <c r="E99" s="215"/>
      <c r="F99" s="214"/>
      <c r="G99" s="386"/>
      <c r="H99" s="109"/>
      <c r="I99" s="109"/>
      <c r="J99" s="365"/>
      <c r="K99" s="90"/>
      <c r="L99" s="213"/>
      <c r="M99" s="90"/>
      <c r="N99" s="91"/>
      <c r="O99" s="106"/>
      <c r="P99" s="260"/>
      <c r="Q99" s="211"/>
      <c r="R99" s="425"/>
      <c r="S99" s="260"/>
      <c r="T99" s="430"/>
      <c r="U99" s="212">
        <f t="shared" si="15"/>
        <v>-100</v>
      </c>
      <c r="V99" s="212">
        <f t="shared" si="16"/>
        <v>-100</v>
      </c>
      <c r="W99" s="211">
        <f t="shared" si="17"/>
        <v>0</v>
      </c>
      <c r="X99" s="211"/>
      <c r="Y99" s="77"/>
      <c r="AA99" s="7"/>
      <c r="AB99" s="9"/>
    </row>
    <row r="100" spans="1:28" ht="12" customHeight="1" hidden="1">
      <c r="A100" s="1"/>
      <c r="B100" s="40" t="s">
        <v>188</v>
      </c>
      <c r="C100" s="150" t="s">
        <v>161</v>
      </c>
      <c r="D100" s="217" t="s">
        <v>160</v>
      </c>
      <c r="E100" s="225" t="s">
        <v>160</v>
      </c>
      <c r="F100" s="217"/>
      <c r="G100" s="218"/>
      <c r="H100" s="109"/>
      <c r="I100" s="109"/>
      <c r="J100" s="365"/>
      <c r="K100" s="90">
        <f>J100/(H100+1E-133)*100-100</f>
        <v>-100</v>
      </c>
      <c r="L100" s="213"/>
      <c r="M100" s="90">
        <f>L100/(H100+1E-106)*100-100</f>
        <v>-100</v>
      </c>
      <c r="N100" s="91">
        <f>L100-J100</f>
        <v>0</v>
      </c>
      <c r="O100" s="106"/>
      <c r="P100" s="260"/>
      <c r="Q100" s="211">
        <f>P100/(H100+1E-106)*100-100</f>
        <v>-100</v>
      </c>
      <c r="R100" s="425"/>
      <c r="S100" s="260"/>
      <c r="T100" s="430"/>
      <c r="U100" s="212">
        <f t="shared" si="15"/>
        <v>-100</v>
      </c>
      <c r="V100" s="212">
        <f t="shared" si="16"/>
        <v>-100</v>
      </c>
      <c r="W100" s="211">
        <f t="shared" si="17"/>
        <v>0</v>
      </c>
      <c r="X100" s="211"/>
      <c r="Y100" s="77"/>
      <c r="AA100" s="7"/>
      <c r="AB100" s="9"/>
    </row>
    <row r="101" spans="1:28" ht="12" customHeight="1" hidden="1">
      <c r="A101" s="1"/>
      <c r="B101" s="40" t="s">
        <v>182</v>
      </c>
      <c r="C101" s="31" t="s">
        <v>162</v>
      </c>
      <c r="D101" s="217" t="s">
        <v>160</v>
      </c>
      <c r="E101" s="225" t="s">
        <v>160</v>
      </c>
      <c r="F101" s="217"/>
      <c r="G101" s="218"/>
      <c r="H101" s="109"/>
      <c r="I101" s="109"/>
      <c r="J101" s="365"/>
      <c r="K101" s="90">
        <f>J101/(H101+1E-133)*100-100</f>
        <v>-100</v>
      </c>
      <c r="L101" s="213"/>
      <c r="M101" s="90">
        <f>L101/(H101+1E-106)*100-100</f>
        <v>-100</v>
      </c>
      <c r="N101" s="91">
        <f>L101-J101</f>
        <v>0</v>
      </c>
      <c r="O101" s="106"/>
      <c r="P101" s="260"/>
      <c r="Q101" s="211">
        <f>P101/(H101+1E-106)*100-100</f>
        <v>-100</v>
      </c>
      <c r="R101" s="425"/>
      <c r="S101" s="260"/>
      <c r="T101" s="430"/>
      <c r="U101" s="212">
        <f t="shared" si="15"/>
        <v>-100</v>
      </c>
      <c r="V101" s="212">
        <f t="shared" si="16"/>
        <v>-100</v>
      </c>
      <c r="W101" s="211">
        <f t="shared" si="17"/>
        <v>0</v>
      </c>
      <c r="X101" s="211"/>
      <c r="Y101" s="77"/>
      <c r="AA101" s="7"/>
      <c r="AB101" s="9"/>
    </row>
    <row r="102" spans="1:28" ht="12" customHeight="1" hidden="1">
      <c r="A102" s="1" t="s">
        <v>62</v>
      </c>
      <c r="B102" s="39" t="s">
        <v>142</v>
      </c>
      <c r="C102" s="31" t="s">
        <v>44</v>
      </c>
      <c r="D102" s="257">
        <f>D104+D110+D116+D122</f>
        <v>0</v>
      </c>
      <c r="E102" s="258">
        <f>E104+E110+E116+E122</f>
        <v>0</v>
      </c>
      <c r="F102" s="257">
        <v>0</v>
      </c>
      <c r="G102" s="258"/>
      <c r="H102" s="157">
        <v>0</v>
      </c>
      <c r="I102" s="157"/>
      <c r="J102" s="370">
        <v>46.81</v>
      </c>
      <c r="K102" s="92"/>
      <c r="L102" s="259">
        <f>L104+L110+L116+L122</f>
        <v>0</v>
      </c>
      <c r="M102" s="106"/>
      <c r="N102" s="92"/>
      <c r="O102" s="106"/>
      <c r="P102" s="260">
        <f>P104+P110+P116+P122</f>
        <v>269.68</v>
      </c>
      <c r="Q102" s="211"/>
      <c r="R102" s="425"/>
      <c r="S102" s="260">
        <f>S104+S110+S116+S122</f>
        <v>0</v>
      </c>
      <c r="T102" s="430"/>
      <c r="U102" s="212">
        <f t="shared" si="15"/>
        <v>-100</v>
      </c>
      <c r="V102" s="212">
        <f t="shared" si="16"/>
        <v>-100</v>
      </c>
      <c r="W102" s="211">
        <f t="shared" si="17"/>
        <v>-46.8</v>
      </c>
      <c r="X102" s="211"/>
      <c r="Y102" s="77"/>
      <c r="AA102" s="7"/>
      <c r="AB102" s="9"/>
    </row>
    <row r="103" spans="1:28" ht="12" customHeight="1" hidden="1">
      <c r="A103" s="1" t="s">
        <v>62</v>
      </c>
      <c r="B103" s="39" t="s">
        <v>120</v>
      </c>
      <c r="C103" s="31"/>
      <c r="D103" s="217"/>
      <c r="E103" s="225"/>
      <c r="F103" s="217"/>
      <c r="G103" s="218"/>
      <c r="H103" s="105"/>
      <c r="I103" s="105"/>
      <c r="J103" s="226"/>
      <c r="K103" s="92"/>
      <c r="L103" s="220"/>
      <c r="M103" s="106"/>
      <c r="N103" s="92"/>
      <c r="O103" s="106"/>
      <c r="P103" s="260"/>
      <c r="Q103" s="211"/>
      <c r="R103" s="425"/>
      <c r="S103" s="260"/>
      <c r="T103" s="430"/>
      <c r="U103" s="212">
        <f t="shared" si="15"/>
        <v>-100</v>
      </c>
      <c r="V103" s="212">
        <f t="shared" si="16"/>
        <v>-100</v>
      </c>
      <c r="W103" s="211">
        <f t="shared" si="17"/>
        <v>0</v>
      </c>
      <c r="X103" s="211"/>
      <c r="Y103" s="77"/>
      <c r="AA103" s="7"/>
      <c r="AB103" s="9"/>
    </row>
    <row r="104" spans="1:28" ht="12" customHeight="1" hidden="1">
      <c r="A104" s="1"/>
      <c r="B104" s="40" t="s">
        <v>28</v>
      </c>
      <c r="C104" s="31" t="s">
        <v>44</v>
      </c>
      <c r="D104" s="214"/>
      <c r="E104" s="215"/>
      <c r="F104" s="214">
        <v>0</v>
      </c>
      <c r="G104" s="386"/>
      <c r="H104" s="105">
        <v>0</v>
      </c>
      <c r="I104" s="105"/>
      <c r="J104" s="226">
        <v>0</v>
      </c>
      <c r="K104" s="90">
        <f>J104/(H104+1E-133)*100-100</f>
        <v>-100</v>
      </c>
      <c r="L104" s="220"/>
      <c r="M104" s="90">
        <f>L104/(H104+1E-106)*100-100</f>
        <v>-100</v>
      </c>
      <c r="N104" s="91">
        <f>L104-J104</f>
        <v>0</v>
      </c>
      <c r="O104" s="106"/>
      <c r="P104" s="260"/>
      <c r="Q104" s="211">
        <f>P104/(H104+1E-106)*100-100</f>
        <v>-100</v>
      </c>
      <c r="R104" s="425"/>
      <c r="S104" s="260"/>
      <c r="T104" s="430"/>
      <c r="U104" s="212">
        <f t="shared" si="15"/>
        <v>-100</v>
      </c>
      <c r="V104" s="212">
        <f t="shared" si="16"/>
        <v>-100</v>
      </c>
      <c r="W104" s="211">
        <f t="shared" si="17"/>
        <v>0</v>
      </c>
      <c r="X104" s="211"/>
      <c r="Y104" s="77"/>
      <c r="AA104" s="7"/>
      <c r="AB104" s="9"/>
    </row>
    <row r="105" spans="1:28" s="250" customFormat="1" ht="12" customHeight="1" hidden="1">
      <c r="A105" s="51"/>
      <c r="B105" s="39" t="s">
        <v>33</v>
      </c>
      <c r="C105" s="52" t="s">
        <v>45</v>
      </c>
      <c r="D105" s="261"/>
      <c r="E105" s="262">
        <f>E147/(E104+1E-107)</f>
        <v>0</v>
      </c>
      <c r="F105" s="360"/>
      <c r="G105" s="388"/>
      <c r="H105" s="98"/>
      <c r="I105" s="98"/>
      <c r="J105" s="365"/>
      <c r="K105" s="88">
        <f>J105/(H105+1E-133)*100-100</f>
        <v>-100</v>
      </c>
      <c r="L105" s="247"/>
      <c r="M105" s="88">
        <f>L105/(H105+1E-106)*100-100</f>
        <v>-100</v>
      </c>
      <c r="N105" s="89">
        <f>L105-J105</f>
        <v>0</v>
      </c>
      <c r="O105" s="87"/>
      <c r="P105" s="229"/>
      <c r="Q105" s="205">
        <f>P105/(H105+1E-106)*100-100</f>
        <v>-100</v>
      </c>
      <c r="R105" s="423"/>
      <c r="S105" s="229"/>
      <c r="T105" s="423"/>
      <c r="U105" s="206">
        <f t="shared" si="15"/>
        <v>-100</v>
      </c>
      <c r="V105" s="206">
        <f t="shared" si="16"/>
        <v>-100</v>
      </c>
      <c r="W105" s="207">
        <f t="shared" si="17"/>
        <v>0</v>
      </c>
      <c r="X105" s="205"/>
      <c r="Y105" s="77"/>
      <c r="AB105" s="251"/>
    </row>
    <row r="106" spans="1:28" ht="12" customHeight="1" hidden="1">
      <c r="A106" s="1"/>
      <c r="B106" s="40" t="s">
        <v>147</v>
      </c>
      <c r="C106" s="31" t="s">
        <v>132</v>
      </c>
      <c r="D106" s="214"/>
      <c r="E106" s="215"/>
      <c r="F106" s="214"/>
      <c r="G106" s="386"/>
      <c r="H106" s="98"/>
      <c r="I106" s="98"/>
      <c r="J106" s="365"/>
      <c r="K106" s="91"/>
      <c r="L106" s="213"/>
      <c r="M106" s="106"/>
      <c r="N106" s="92"/>
      <c r="O106" s="106"/>
      <c r="P106" s="260"/>
      <c r="Q106" s="211"/>
      <c r="R106" s="425"/>
      <c r="S106" s="260"/>
      <c r="T106" s="430"/>
      <c r="U106" s="212">
        <f t="shared" si="15"/>
        <v>-100</v>
      </c>
      <c r="V106" s="212">
        <f t="shared" si="16"/>
        <v>-100</v>
      </c>
      <c r="W106" s="211">
        <f t="shared" si="17"/>
        <v>0</v>
      </c>
      <c r="X106" s="211"/>
      <c r="Y106" s="77"/>
      <c r="AA106" s="7"/>
      <c r="AB106" s="9"/>
    </row>
    <row r="107" spans="1:28" ht="12" customHeight="1" hidden="1">
      <c r="A107" s="1"/>
      <c r="B107" s="40" t="s">
        <v>188</v>
      </c>
      <c r="C107" s="150" t="s">
        <v>161</v>
      </c>
      <c r="D107" s="217" t="s">
        <v>160</v>
      </c>
      <c r="E107" s="225" t="s">
        <v>160</v>
      </c>
      <c r="F107" s="217"/>
      <c r="G107" s="218"/>
      <c r="H107" s="98"/>
      <c r="I107" s="98"/>
      <c r="J107" s="365"/>
      <c r="K107" s="90">
        <f>J107/(H107+1E-133)*100-100</f>
        <v>-100</v>
      </c>
      <c r="L107" s="213"/>
      <c r="M107" s="90">
        <f>L107/(H107+1E-106)*100-100</f>
        <v>-100</v>
      </c>
      <c r="N107" s="91">
        <f>L107-J107</f>
        <v>0</v>
      </c>
      <c r="O107" s="106"/>
      <c r="P107" s="260"/>
      <c r="Q107" s="211">
        <f>P107/(H107+1E-106)*100-100</f>
        <v>-100</v>
      </c>
      <c r="R107" s="425"/>
      <c r="S107" s="260"/>
      <c r="T107" s="430"/>
      <c r="U107" s="212">
        <f t="shared" si="15"/>
        <v>-100</v>
      </c>
      <c r="V107" s="212">
        <f t="shared" si="16"/>
        <v>-100</v>
      </c>
      <c r="W107" s="211">
        <f t="shared" si="17"/>
        <v>0</v>
      </c>
      <c r="X107" s="211"/>
      <c r="Y107" s="77"/>
      <c r="AA107" s="7"/>
      <c r="AB107" s="9"/>
    </row>
    <row r="108" spans="1:28" ht="12" customHeight="1" hidden="1">
      <c r="A108" s="1"/>
      <c r="B108" s="40" t="s">
        <v>182</v>
      </c>
      <c r="C108" s="31" t="s">
        <v>162</v>
      </c>
      <c r="D108" s="217" t="s">
        <v>160</v>
      </c>
      <c r="E108" s="225" t="s">
        <v>160</v>
      </c>
      <c r="F108" s="217"/>
      <c r="G108" s="218"/>
      <c r="H108" s="98"/>
      <c r="I108" s="98"/>
      <c r="J108" s="365"/>
      <c r="K108" s="90">
        <f>J108/(H108+1E-133)*100-100</f>
        <v>-100</v>
      </c>
      <c r="L108" s="213"/>
      <c r="M108" s="90">
        <f>L108/(H108+1E-106)*100-100</f>
        <v>-100</v>
      </c>
      <c r="N108" s="91">
        <f>L108-J108</f>
        <v>0</v>
      </c>
      <c r="O108" s="106"/>
      <c r="P108" s="260"/>
      <c r="Q108" s="211">
        <f>P108/(H108+1E-106)*100-100</f>
        <v>-100</v>
      </c>
      <c r="R108" s="425"/>
      <c r="S108" s="260"/>
      <c r="T108" s="430"/>
      <c r="U108" s="212">
        <f t="shared" si="15"/>
        <v>-100</v>
      </c>
      <c r="V108" s="212">
        <f t="shared" si="16"/>
        <v>-100</v>
      </c>
      <c r="W108" s="211">
        <f t="shared" si="17"/>
        <v>0</v>
      </c>
      <c r="X108" s="211"/>
      <c r="Y108" s="77"/>
      <c r="AA108" s="7"/>
      <c r="AB108" s="9"/>
    </row>
    <row r="109" spans="1:28" ht="12" customHeight="1" hidden="1">
      <c r="A109" s="1" t="s">
        <v>62</v>
      </c>
      <c r="B109" s="39" t="s">
        <v>121</v>
      </c>
      <c r="C109" s="31"/>
      <c r="D109" s="217"/>
      <c r="E109" s="225"/>
      <c r="F109" s="217"/>
      <c r="G109" s="218"/>
      <c r="H109" s="105"/>
      <c r="I109" s="105"/>
      <c r="J109" s="226"/>
      <c r="K109" s="92"/>
      <c r="L109" s="220"/>
      <c r="M109" s="106"/>
      <c r="N109" s="92"/>
      <c r="O109" s="106"/>
      <c r="P109" s="260"/>
      <c r="Q109" s="211"/>
      <c r="R109" s="425"/>
      <c r="S109" s="260"/>
      <c r="T109" s="430"/>
      <c r="U109" s="212">
        <f t="shared" si="15"/>
        <v>-100</v>
      </c>
      <c r="V109" s="212">
        <f t="shared" si="16"/>
        <v>-100</v>
      </c>
      <c r="W109" s="211">
        <f t="shared" si="17"/>
        <v>0</v>
      </c>
      <c r="X109" s="211"/>
      <c r="Y109" s="77"/>
      <c r="AA109" s="7"/>
      <c r="AB109" s="9"/>
    </row>
    <row r="110" spans="1:28" ht="12" customHeight="1" hidden="1">
      <c r="A110" s="1"/>
      <c r="B110" s="40" t="s">
        <v>28</v>
      </c>
      <c r="C110" s="31" t="s">
        <v>44</v>
      </c>
      <c r="D110" s="214"/>
      <c r="E110" s="215"/>
      <c r="F110" s="214">
        <v>0</v>
      </c>
      <c r="G110" s="386"/>
      <c r="H110" s="105">
        <v>0</v>
      </c>
      <c r="I110" s="105"/>
      <c r="J110" s="226">
        <f>H110</f>
        <v>0</v>
      </c>
      <c r="K110" s="90">
        <f>J110/(H110+1E-133)*100-100</f>
        <v>-100</v>
      </c>
      <c r="L110" s="220"/>
      <c r="M110" s="90">
        <f>L110/(H110+1E-106)*100-100</f>
        <v>-100</v>
      </c>
      <c r="N110" s="91">
        <f>L110-J110</f>
        <v>0</v>
      </c>
      <c r="O110" s="106"/>
      <c r="P110" s="260">
        <f>P69*P9/1000</f>
        <v>269.68</v>
      </c>
      <c r="Q110" s="211">
        <f>P110/(H110+1E-106)*100-100</f>
        <v>2.6968E+110</v>
      </c>
      <c r="R110" s="425"/>
      <c r="S110" s="260">
        <f>H110</f>
        <v>0</v>
      </c>
      <c r="T110" s="430"/>
      <c r="U110" s="212">
        <f t="shared" si="15"/>
        <v>-100</v>
      </c>
      <c r="V110" s="212">
        <f t="shared" si="16"/>
        <v>-100</v>
      </c>
      <c r="W110" s="211">
        <f t="shared" si="17"/>
        <v>0</v>
      </c>
      <c r="X110" s="211"/>
      <c r="Y110" s="77"/>
      <c r="AA110" s="7"/>
      <c r="AB110" s="9"/>
    </row>
    <row r="111" spans="1:28" s="250" customFormat="1" ht="12" customHeight="1" hidden="1">
      <c r="A111" s="51"/>
      <c r="B111" s="39" t="s">
        <v>33</v>
      </c>
      <c r="C111" s="52" t="s">
        <v>45</v>
      </c>
      <c r="D111" s="261"/>
      <c r="E111" s="262">
        <f>E148/(E110+1E-107)</f>
        <v>0</v>
      </c>
      <c r="F111" s="360"/>
      <c r="G111" s="388"/>
      <c r="H111" s="98"/>
      <c r="I111" s="98"/>
      <c r="J111" s="369">
        <f>S111</f>
        <v>0</v>
      </c>
      <c r="K111" s="88">
        <f>J111/(H111+1E-133)*100-100</f>
        <v>-100</v>
      </c>
      <c r="L111" s="247"/>
      <c r="M111" s="88">
        <f>L111/(H111+1E-106)*100-100</f>
        <v>-100</v>
      </c>
      <c r="N111" s="89">
        <f>L111-J111</f>
        <v>0</v>
      </c>
      <c r="O111" s="87"/>
      <c r="P111" s="229">
        <f>S111</f>
        <v>0</v>
      </c>
      <c r="Q111" s="205">
        <f>P111/(H111+1E-106)*100-100</f>
        <v>-100</v>
      </c>
      <c r="R111" s="423"/>
      <c r="S111" s="229">
        <f>H111*1.08</f>
        <v>0</v>
      </c>
      <c r="T111" s="423"/>
      <c r="U111" s="206">
        <f t="shared" si="15"/>
        <v>-100</v>
      </c>
      <c r="V111" s="206">
        <f t="shared" si="16"/>
        <v>-100</v>
      </c>
      <c r="W111" s="207">
        <f t="shared" si="17"/>
        <v>0</v>
      </c>
      <c r="X111" s="207"/>
      <c r="Y111" s="238" t="s">
        <v>210</v>
      </c>
      <c r="AB111" s="251"/>
    </row>
    <row r="112" spans="1:28" ht="12" customHeight="1" hidden="1">
      <c r="A112" s="1"/>
      <c r="B112" s="40" t="s">
        <v>147</v>
      </c>
      <c r="C112" s="31" t="s">
        <v>132</v>
      </c>
      <c r="D112" s="214"/>
      <c r="E112" s="215"/>
      <c r="F112" s="214">
        <v>8040</v>
      </c>
      <c r="G112" s="386"/>
      <c r="H112" s="98"/>
      <c r="I112" s="98"/>
      <c r="J112" s="365"/>
      <c r="K112" s="91"/>
      <c r="L112" s="213"/>
      <c r="M112" s="106"/>
      <c r="N112" s="92"/>
      <c r="O112" s="106"/>
      <c r="P112" s="260"/>
      <c r="Q112" s="211"/>
      <c r="R112" s="425"/>
      <c r="S112" s="260"/>
      <c r="T112" s="430"/>
      <c r="U112" s="212">
        <f t="shared" si="15"/>
        <v>-100</v>
      </c>
      <c r="V112" s="212">
        <f t="shared" si="16"/>
        <v>-100</v>
      </c>
      <c r="W112" s="211">
        <f t="shared" si="17"/>
        <v>0</v>
      </c>
      <c r="X112" s="211"/>
      <c r="Y112" s="77"/>
      <c r="AA112" s="7"/>
      <c r="AB112" s="9"/>
    </row>
    <row r="113" spans="1:28" ht="12" customHeight="1" hidden="1">
      <c r="A113" s="1"/>
      <c r="B113" s="40" t="s">
        <v>188</v>
      </c>
      <c r="C113" s="150" t="s">
        <v>161</v>
      </c>
      <c r="D113" s="217" t="s">
        <v>160</v>
      </c>
      <c r="E113" s="225" t="s">
        <v>160</v>
      </c>
      <c r="F113" s="217"/>
      <c r="G113" s="218"/>
      <c r="H113" s="98"/>
      <c r="I113" s="98"/>
      <c r="J113" s="365"/>
      <c r="K113" s="90">
        <f>J113/(H113+1E-133)*100-100</f>
        <v>-100</v>
      </c>
      <c r="L113" s="213"/>
      <c r="M113" s="90">
        <f>L113/(H113+1E-106)*100-100</f>
        <v>-100</v>
      </c>
      <c r="N113" s="91">
        <f>L113-J113</f>
        <v>0</v>
      </c>
      <c r="O113" s="106"/>
      <c r="P113" s="260"/>
      <c r="Q113" s="211">
        <f>P113/(H113+1E-106)*100-100</f>
        <v>-100</v>
      </c>
      <c r="R113" s="425"/>
      <c r="S113" s="260"/>
      <c r="T113" s="430"/>
      <c r="U113" s="212">
        <f t="shared" si="15"/>
        <v>-100</v>
      </c>
      <c r="V113" s="212">
        <f t="shared" si="16"/>
        <v>-100</v>
      </c>
      <c r="W113" s="211">
        <f t="shared" si="17"/>
        <v>0</v>
      </c>
      <c r="X113" s="211"/>
      <c r="Y113" s="77"/>
      <c r="AA113" s="7"/>
      <c r="AB113" s="9"/>
    </row>
    <row r="114" spans="1:28" ht="12" customHeight="1" hidden="1">
      <c r="A114" s="1"/>
      <c r="B114" s="40" t="s">
        <v>182</v>
      </c>
      <c r="C114" s="31" t="s">
        <v>162</v>
      </c>
      <c r="D114" s="217" t="s">
        <v>160</v>
      </c>
      <c r="E114" s="225" t="s">
        <v>160</v>
      </c>
      <c r="F114" s="217"/>
      <c r="G114" s="218"/>
      <c r="H114" s="98"/>
      <c r="I114" s="98"/>
      <c r="J114" s="365"/>
      <c r="K114" s="90">
        <f>J114/(H114+1E-133)*100-100</f>
        <v>-100</v>
      </c>
      <c r="L114" s="213"/>
      <c r="M114" s="90">
        <f>L114/(H114+1E-106)*100-100</f>
        <v>-100</v>
      </c>
      <c r="N114" s="91">
        <f>L114-J114</f>
        <v>0</v>
      </c>
      <c r="O114" s="106"/>
      <c r="P114" s="260"/>
      <c r="Q114" s="211">
        <f>P114/(H114+1E-106)*100-100</f>
        <v>-100</v>
      </c>
      <c r="R114" s="425"/>
      <c r="S114" s="260"/>
      <c r="T114" s="430"/>
      <c r="U114" s="212">
        <f t="shared" si="15"/>
        <v>-100</v>
      </c>
      <c r="V114" s="212">
        <f t="shared" si="16"/>
        <v>-100</v>
      </c>
      <c r="W114" s="211">
        <f t="shared" si="17"/>
        <v>0</v>
      </c>
      <c r="X114" s="211"/>
      <c r="Y114" s="77"/>
      <c r="AA114" s="7"/>
      <c r="AB114" s="9"/>
    </row>
    <row r="115" spans="1:28" ht="12" customHeight="1" hidden="1">
      <c r="A115" s="1" t="s">
        <v>62</v>
      </c>
      <c r="B115" s="39" t="s">
        <v>122</v>
      </c>
      <c r="C115" s="31"/>
      <c r="D115" s="217"/>
      <c r="E115" s="225"/>
      <c r="F115" s="217"/>
      <c r="G115" s="218"/>
      <c r="H115" s="105"/>
      <c r="I115" s="105"/>
      <c r="J115" s="226"/>
      <c r="K115" s="92"/>
      <c r="L115" s="220"/>
      <c r="M115" s="106"/>
      <c r="N115" s="92"/>
      <c r="O115" s="106"/>
      <c r="P115" s="260"/>
      <c r="Q115" s="211"/>
      <c r="R115" s="425"/>
      <c r="S115" s="260"/>
      <c r="T115" s="430"/>
      <c r="U115" s="212">
        <f t="shared" si="15"/>
        <v>-100</v>
      </c>
      <c r="V115" s="212">
        <f t="shared" si="16"/>
        <v>-100</v>
      </c>
      <c r="W115" s="211">
        <f t="shared" si="17"/>
        <v>0</v>
      </c>
      <c r="X115" s="211"/>
      <c r="Y115" s="77"/>
      <c r="AA115" s="7"/>
      <c r="AB115" s="9"/>
    </row>
    <row r="116" spans="1:28" ht="12" customHeight="1" hidden="1">
      <c r="A116" s="1"/>
      <c r="B116" s="40" t="s">
        <v>28</v>
      </c>
      <c r="C116" s="31" t="s">
        <v>44</v>
      </c>
      <c r="D116" s="214"/>
      <c r="E116" s="215"/>
      <c r="F116" s="214">
        <v>0</v>
      </c>
      <c r="G116" s="386"/>
      <c r="H116" s="105">
        <v>0</v>
      </c>
      <c r="I116" s="105"/>
      <c r="J116" s="226">
        <v>0</v>
      </c>
      <c r="K116" s="90">
        <f>J116/(H116+1E-133)*100-100</f>
        <v>-100</v>
      </c>
      <c r="L116" s="220"/>
      <c r="M116" s="90">
        <f>L116/(H116+1E-106)*100-100</f>
        <v>-100</v>
      </c>
      <c r="N116" s="91">
        <f>L116-J116</f>
        <v>0</v>
      </c>
      <c r="O116" s="106"/>
      <c r="P116" s="260"/>
      <c r="Q116" s="211">
        <f>P116/(H116+1E-106)*100-100</f>
        <v>-100</v>
      </c>
      <c r="R116" s="425"/>
      <c r="S116" s="260"/>
      <c r="T116" s="430"/>
      <c r="U116" s="212">
        <f t="shared" si="15"/>
        <v>-100</v>
      </c>
      <c r="V116" s="212">
        <f t="shared" si="16"/>
        <v>-100</v>
      </c>
      <c r="W116" s="211">
        <f t="shared" si="17"/>
        <v>0</v>
      </c>
      <c r="X116" s="211"/>
      <c r="Y116" s="77"/>
      <c r="AA116" s="7"/>
      <c r="AB116" s="9"/>
    </row>
    <row r="117" spans="1:28" s="250" customFormat="1" ht="12" customHeight="1" hidden="1">
      <c r="A117" s="51"/>
      <c r="B117" s="39" t="s">
        <v>33</v>
      </c>
      <c r="C117" s="52" t="s">
        <v>45</v>
      </c>
      <c r="D117" s="261"/>
      <c r="E117" s="262">
        <f>E149/(E116+1E-107)</f>
        <v>0</v>
      </c>
      <c r="F117" s="360"/>
      <c r="G117" s="388"/>
      <c r="H117" s="98"/>
      <c r="I117" s="98"/>
      <c r="J117" s="365"/>
      <c r="K117" s="88">
        <f>J117/(H117+1E-133)*100-100</f>
        <v>-100</v>
      </c>
      <c r="L117" s="247"/>
      <c r="M117" s="88">
        <f>L117/(H117+1E-106)*100-100</f>
        <v>-100</v>
      </c>
      <c r="N117" s="89">
        <f>L117-J117</f>
        <v>0</v>
      </c>
      <c r="O117" s="87"/>
      <c r="P117" s="229"/>
      <c r="Q117" s="205">
        <f>P117/(H117+1E-106)*100-100</f>
        <v>-100</v>
      </c>
      <c r="R117" s="423"/>
      <c r="S117" s="229"/>
      <c r="T117" s="423"/>
      <c r="U117" s="206">
        <f t="shared" si="15"/>
        <v>-100</v>
      </c>
      <c r="V117" s="206">
        <f t="shared" si="16"/>
        <v>-100</v>
      </c>
      <c r="W117" s="207">
        <f t="shared" si="17"/>
        <v>0</v>
      </c>
      <c r="X117" s="205"/>
      <c r="Y117" s="77"/>
      <c r="AB117" s="251"/>
    </row>
    <row r="118" spans="1:28" ht="12" customHeight="1" hidden="1">
      <c r="A118" s="1"/>
      <c r="B118" s="40" t="s">
        <v>147</v>
      </c>
      <c r="C118" s="31" t="s">
        <v>132</v>
      </c>
      <c r="D118" s="214"/>
      <c r="E118" s="215"/>
      <c r="F118" s="214"/>
      <c r="G118" s="386"/>
      <c r="H118" s="98"/>
      <c r="I118" s="98"/>
      <c r="J118" s="365"/>
      <c r="K118" s="91"/>
      <c r="L118" s="213"/>
      <c r="M118" s="106"/>
      <c r="N118" s="92"/>
      <c r="O118" s="106"/>
      <c r="P118" s="260"/>
      <c r="Q118" s="211"/>
      <c r="R118" s="425"/>
      <c r="S118" s="260"/>
      <c r="T118" s="430"/>
      <c r="U118" s="212">
        <f t="shared" si="15"/>
        <v>-100</v>
      </c>
      <c r="V118" s="212">
        <f t="shared" si="16"/>
        <v>-100</v>
      </c>
      <c r="W118" s="211">
        <f t="shared" si="17"/>
        <v>0</v>
      </c>
      <c r="X118" s="211"/>
      <c r="Y118" s="77"/>
      <c r="AA118" s="7"/>
      <c r="AB118" s="9"/>
    </row>
    <row r="119" spans="1:28" ht="12" customHeight="1" hidden="1">
      <c r="A119" s="1"/>
      <c r="B119" s="40" t="s">
        <v>188</v>
      </c>
      <c r="C119" s="150" t="s">
        <v>161</v>
      </c>
      <c r="D119" s="217" t="s">
        <v>160</v>
      </c>
      <c r="E119" s="225" t="s">
        <v>160</v>
      </c>
      <c r="F119" s="217"/>
      <c r="G119" s="218"/>
      <c r="H119" s="98"/>
      <c r="I119" s="98"/>
      <c r="J119" s="365"/>
      <c r="K119" s="90">
        <f>J119/(H119+1E-133)*100-100</f>
        <v>-100</v>
      </c>
      <c r="L119" s="213"/>
      <c r="M119" s="90">
        <f>L119/(H119+1E-106)*100-100</f>
        <v>-100</v>
      </c>
      <c r="N119" s="91">
        <f>L119-J119</f>
        <v>0</v>
      </c>
      <c r="O119" s="106"/>
      <c r="P119" s="260"/>
      <c r="Q119" s="211">
        <f>P119/(H119+1E-106)*100-100</f>
        <v>-100</v>
      </c>
      <c r="R119" s="425"/>
      <c r="S119" s="260"/>
      <c r="T119" s="430"/>
      <c r="U119" s="212">
        <f t="shared" si="15"/>
        <v>-100</v>
      </c>
      <c r="V119" s="212">
        <f t="shared" si="16"/>
        <v>-100</v>
      </c>
      <c r="W119" s="211">
        <f t="shared" si="17"/>
        <v>0</v>
      </c>
      <c r="X119" s="211"/>
      <c r="Y119" s="77"/>
      <c r="AA119" s="7"/>
      <c r="AB119" s="9"/>
    </row>
    <row r="120" spans="1:28" ht="12" customHeight="1" hidden="1">
      <c r="A120" s="1"/>
      <c r="B120" s="40" t="s">
        <v>182</v>
      </c>
      <c r="C120" s="31" t="s">
        <v>162</v>
      </c>
      <c r="D120" s="217" t="s">
        <v>160</v>
      </c>
      <c r="E120" s="225" t="s">
        <v>160</v>
      </c>
      <c r="F120" s="217"/>
      <c r="G120" s="218"/>
      <c r="H120" s="98"/>
      <c r="I120" s="98"/>
      <c r="J120" s="365"/>
      <c r="K120" s="90">
        <f>J120/(H120+1E-133)*100-100</f>
        <v>-100</v>
      </c>
      <c r="L120" s="213"/>
      <c r="M120" s="90">
        <f>L120/(H120+1E-106)*100-100</f>
        <v>-100</v>
      </c>
      <c r="N120" s="91">
        <f>L120-J120</f>
        <v>0</v>
      </c>
      <c r="O120" s="106"/>
      <c r="P120" s="260"/>
      <c r="Q120" s="211">
        <f>P120/(H120+1E-106)*100-100</f>
        <v>-100</v>
      </c>
      <c r="R120" s="425"/>
      <c r="S120" s="260"/>
      <c r="T120" s="430"/>
      <c r="U120" s="212">
        <f t="shared" si="15"/>
        <v>-100</v>
      </c>
      <c r="V120" s="212">
        <f t="shared" si="16"/>
        <v>-100</v>
      </c>
      <c r="W120" s="211">
        <f t="shared" si="17"/>
        <v>0</v>
      </c>
      <c r="X120" s="211"/>
      <c r="Y120" s="77"/>
      <c r="AA120" s="7"/>
      <c r="AB120" s="9"/>
    </row>
    <row r="121" spans="1:28" ht="12" customHeight="1" hidden="1">
      <c r="A121" s="1" t="s">
        <v>62</v>
      </c>
      <c r="B121" s="39" t="s">
        <v>123</v>
      </c>
      <c r="C121" s="31"/>
      <c r="D121" s="217"/>
      <c r="E121" s="225"/>
      <c r="F121" s="217"/>
      <c r="G121" s="218"/>
      <c r="H121" s="105"/>
      <c r="I121" s="105"/>
      <c r="J121" s="226"/>
      <c r="K121" s="92"/>
      <c r="L121" s="220"/>
      <c r="M121" s="106"/>
      <c r="N121" s="92"/>
      <c r="O121" s="106"/>
      <c r="P121" s="260"/>
      <c r="Q121" s="211"/>
      <c r="R121" s="425"/>
      <c r="S121" s="260"/>
      <c r="T121" s="430"/>
      <c r="U121" s="212">
        <f t="shared" si="15"/>
        <v>-100</v>
      </c>
      <c r="V121" s="212">
        <f t="shared" si="16"/>
        <v>-100</v>
      </c>
      <c r="W121" s="211">
        <f t="shared" si="17"/>
        <v>0</v>
      </c>
      <c r="X121" s="211"/>
      <c r="Y121" s="77"/>
      <c r="AA121" s="7"/>
      <c r="AB121" s="9"/>
    </row>
    <row r="122" spans="1:28" ht="12" customHeight="1" hidden="1">
      <c r="A122" s="1"/>
      <c r="B122" s="40" t="s">
        <v>28</v>
      </c>
      <c r="C122" s="31" t="s">
        <v>44</v>
      </c>
      <c r="D122" s="214"/>
      <c r="E122" s="215"/>
      <c r="F122" s="214">
        <v>0</v>
      </c>
      <c r="G122" s="386"/>
      <c r="H122" s="105">
        <v>0</v>
      </c>
      <c r="I122" s="105"/>
      <c r="J122" s="226">
        <v>0</v>
      </c>
      <c r="K122" s="90">
        <f>J122/(H122+1E-133)*100-100</f>
        <v>-100</v>
      </c>
      <c r="L122" s="220"/>
      <c r="M122" s="90">
        <f>L122/(H122+1E-106)*100-100</f>
        <v>-100</v>
      </c>
      <c r="N122" s="91">
        <f>L122-J122</f>
        <v>0</v>
      </c>
      <c r="O122" s="106"/>
      <c r="P122" s="260"/>
      <c r="Q122" s="211">
        <f>P122/(H122+1E-106)*100-100</f>
        <v>-100</v>
      </c>
      <c r="R122" s="425"/>
      <c r="S122" s="260"/>
      <c r="T122" s="430"/>
      <c r="U122" s="212">
        <f t="shared" si="15"/>
        <v>-100</v>
      </c>
      <c r="V122" s="212">
        <f t="shared" si="16"/>
        <v>-100</v>
      </c>
      <c r="W122" s="211">
        <f t="shared" si="17"/>
        <v>0</v>
      </c>
      <c r="X122" s="211"/>
      <c r="Y122" s="77"/>
      <c r="AA122" s="7"/>
      <c r="AB122" s="9"/>
    </row>
    <row r="123" spans="1:28" s="250" customFormat="1" ht="12" customHeight="1" hidden="1">
      <c r="A123" s="51"/>
      <c r="B123" s="39" t="s">
        <v>33</v>
      </c>
      <c r="C123" s="52" t="s">
        <v>45</v>
      </c>
      <c r="D123" s="261"/>
      <c r="E123" s="262">
        <f>E150/(E122+1E-107)</f>
        <v>0</v>
      </c>
      <c r="F123" s="360"/>
      <c r="G123" s="388"/>
      <c r="H123" s="98"/>
      <c r="I123" s="98"/>
      <c r="J123" s="365"/>
      <c r="K123" s="88">
        <f>J123/(H123+1E-133)*100-100</f>
        <v>-100</v>
      </c>
      <c r="L123" s="247"/>
      <c r="M123" s="88">
        <f>L123/(H123+1E-106)*100-100</f>
        <v>-100</v>
      </c>
      <c r="N123" s="89">
        <f>L123-J123</f>
        <v>0</v>
      </c>
      <c r="O123" s="87"/>
      <c r="P123" s="229"/>
      <c r="Q123" s="205">
        <f>P123/(H123+1E-106)*100-100</f>
        <v>-100</v>
      </c>
      <c r="R123" s="423"/>
      <c r="S123" s="229"/>
      <c r="T123" s="423"/>
      <c r="U123" s="206">
        <f t="shared" si="15"/>
        <v>-100</v>
      </c>
      <c r="V123" s="206">
        <f t="shared" si="16"/>
        <v>-100</v>
      </c>
      <c r="W123" s="207">
        <f t="shared" si="17"/>
        <v>0</v>
      </c>
      <c r="X123" s="207"/>
      <c r="Y123" s="77"/>
      <c r="AB123" s="251"/>
    </row>
    <row r="124" spans="1:28" ht="12" customHeight="1" hidden="1">
      <c r="A124" s="1"/>
      <c r="B124" s="40" t="s">
        <v>147</v>
      </c>
      <c r="C124" s="31" t="s">
        <v>132</v>
      </c>
      <c r="D124" s="214"/>
      <c r="E124" s="215"/>
      <c r="F124" s="214"/>
      <c r="G124" s="386"/>
      <c r="H124" s="98"/>
      <c r="I124" s="98"/>
      <c r="J124" s="365"/>
      <c r="K124" s="91"/>
      <c r="L124" s="213"/>
      <c r="M124" s="106"/>
      <c r="N124" s="92"/>
      <c r="O124" s="106"/>
      <c r="P124" s="260"/>
      <c r="Q124" s="211"/>
      <c r="R124" s="425"/>
      <c r="S124" s="260"/>
      <c r="T124" s="430"/>
      <c r="U124" s="212">
        <f t="shared" si="15"/>
        <v>-100</v>
      </c>
      <c r="V124" s="212">
        <f t="shared" si="16"/>
        <v>-100</v>
      </c>
      <c r="W124" s="211">
        <f t="shared" si="17"/>
        <v>0</v>
      </c>
      <c r="X124" s="211"/>
      <c r="Y124" s="77"/>
      <c r="AA124" s="7"/>
      <c r="AB124" s="9"/>
    </row>
    <row r="125" spans="1:28" ht="12" customHeight="1" hidden="1">
      <c r="A125" s="1"/>
      <c r="B125" s="40" t="s">
        <v>188</v>
      </c>
      <c r="C125" s="150" t="s">
        <v>161</v>
      </c>
      <c r="D125" s="217" t="s">
        <v>160</v>
      </c>
      <c r="E125" s="225" t="s">
        <v>160</v>
      </c>
      <c r="F125" s="217"/>
      <c r="G125" s="218"/>
      <c r="H125" s="98"/>
      <c r="I125" s="98"/>
      <c r="J125" s="365"/>
      <c r="K125" s="90">
        <f>J125/(H125+1E-133)*100-100</f>
        <v>-100</v>
      </c>
      <c r="L125" s="213"/>
      <c r="M125" s="90">
        <f>L125/(H125+1E-106)*100-100</f>
        <v>-100</v>
      </c>
      <c r="N125" s="91">
        <f>L125-J125</f>
        <v>0</v>
      </c>
      <c r="O125" s="106"/>
      <c r="P125" s="260"/>
      <c r="Q125" s="211">
        <f>P125/(H125+1E-106)*100-100</f>
        <v>-100</v>
      </c>
      <c r="R125" s="425"/>
      <c r="S125" s="260"/>
      <c r="T125" s="430"/>
      <c r="U125" s="212">
        <f t="shared" si="15"/>
        <v>-100</v>
      </c>
      <c r="V125" s="212">
        <f t="shared" si="16"/>
        <v>-100</v>
      </c>
      <c r="W125" s="211">
        <f t="shared" si="17"/>
        <v>0</v>
      </c>
      <c r="X125" s="211"/>
      <c r="Y125" s="77"/>
      <c r="AA125" s="7"/>
      <c r="AB125" s="9"/>
    </row>
    <row r="126" spans="1:28" ht="12" customHeight="1" hidden="1">
      <c r="A126" s="1"/>
      <c r="B126" s="40" t="s">
        <v>182</v>
      </c>
      <c r="C126" s="31" t="s">
        <v>162</v>
      </c>
      <c r="D126" s="217" t="s">
        <v>160</v>
      </c>
      <c r="E126" s="225" t="s">
        <v>160</v>
      </c>
      <c r="F126" s="217"/>
      <c r="G126" s="218"/>
      <c r="H126" s="98"/>
      <c r="I126" s="98"/>
      <c r="J126" s="365"/>
      <c r="K126" s="90">
        <f>J126/(H126+1E-133)*100-100</f>
        <v>-100</v>
      </c>
      <c r="L126" s="213"/>
      <c r="M126" s="90">
        <f>L126/(H126+1E-106)*100-100</f>
        <v>-100</v>
      </c>
      <c r="N126" s="91">
        <f>L126-J126</f>
        <v>0</v>
      </c>
      <c r="O126" s="106"/>
      <c r="P126" s="260"/>
      <c r="Q126" s="211">
        <f>P126/(H126+1E-106)*100-100</f>
        <v>-100</v>
      </c>
      <c r="R126" s="425"/>
      <c r="S126" s="260"/>
      <c r="T126" s="430"/>
      <c r="U126" s="212">
        <f t="shared" si="15"/>
        <v>-100</v>
      </c>
      <c r="V126" s="212">
        <f t="shared" si="16"/>
        <v>-100</v>
      </c>
      <c r="W126" s="211">
        <f t="shared" si="17"/>
        <v>0</v>
      </c>
      <c r="X126" s="211"/>
      <c r="Y126" s="77"/>
      <c r="AA126" s="7"/>
      <c r="AB126" s="9"/>
    </row>
    <row r="127" spans="1:28" ht="12" customHeight="1">
      <c r="A127" s="51">
        <v>9</v>
      </c>
      <c r="B127" s="39" t="s">
        <v>10</v>
      </c>
      <c r="C127" s="31"/>
      <c r="D127" s="217"/>
      <c r="E127" s="225"/>
      <c r="F127" s="217"/>
      <c r="G127" s="218"/>
      <c r="H127" s="148"/>
      <c r="I127" s="148"/>
      <c r="J127" s="226"/>
      <c r="K127" s="106"/>
      <c r="L127" s="220"/>
      <c r="M127" s="90"/>
      <c r="N127" s="91"/>
      <c r="O127" s="106"/>
      <c r="P127" s="260"/>
      <c r="Q127" s="211"/>
      <c r="R127" s="425"/>
      <c r="S127" s="260"/>
      <c r="T127" s="430"/>
      <c r="U127" s="206"/>
      <c r="V127" s="206"/>
      <c r="W127" s="207"/>
      <c r="X127" s="211"/>
      <c r="Y127" s="77"/>
      <c r="AA127" s="7"/>
      <c r="AB127" s="9"/>
    </row>
    <row r="128" spans="1:28" ht="12" customHeight="1">
      <c r="A128" s="1"/>
      <c r="B128" s="40" t="s">
        <v>64</v>
      </c>
      <c r="C128" s="31" t="s">
        <v>65</v>
      </c>
      <c r="D128" s="214">
        <v>0.9</v>
      </c>
      <c r="E128" s="225">
        <f>E129*1000/(E9+1E-104)</f>
        <v>0</v>
      </c>
      <c r="F128" s="217">
        <v>0.8</v>
      </c>
      <c r="G128" s="218">
        <v>0.7</v>
      </c>
      <c r="H128" s="98">
        <f>I128</f>
        <v>0.7</v>
      </c>
      <c r="I128" s="98">
        <v>0.7</v>
      </c>
      <c r="J128" s="365">
        <f>H128</f>
        <v>0.7</v>
      </c>
      <c r="K128" s="90">
        <f>J128/(H128+1E-133)*100-100</f>
        <v>0</v>
      </c>
      <c r="L128" s="213"/>
      <c r="M128" s="90">
        <f>L128/(H128+1E-106)*100-100</f>
        <v>-100</v>
      </c>
      <c r="N128" s="91">
        <f>L128-J128</f>
        <v>-0.7</v>
      </c>
      <c r="O128" s="106"/>
      <c r="P128" s="260">
        <f>H128</f>
        <v>0.7</v>
      </c>
      <c r="Q128" s="211">
        <f>P128/(H128+1E-106)*100-100</f>
        <v>0</v>
      </c>
      <c r="R128" s="425">
        <v>0.7</v>
      </c>
      <c r="S128" s="260">
        <f>P128</f>
        <v>0.7</v>
      </c>
      <c r="T128" s="430">
        <v>0.7</v>
      </c>
      <c r="U128" s="212">
        <f>S128/(P128+1E-106)*100-100</f>
        <v>0</v>
      </c>
      <c r="V128" s="212">
        <f>S128/(H128+1E-106)*100-100</f>
        <v>0</v>
      </c>
      <c r="W128" s="211">
        <f>S128-J128</f>
        <v>0</v>
      </c>
      <c r="X128" s="211"/>
      <c r="Y128" s="77"/>
      <c r="AA128" s="7"/>
      <c r="AB128" s="9"/>
    </row>
    <row r="129" spans="1:25" ht="12" customHeight="1">
      <c r="A129" s="1"/>
      <c r="B129" s="40" t="s">
        <v>29</v>
      </c>
      <c r="C129" s="31" t="s">
        <v>43</v>
      </c>
      <c r="D129" s="217">
        <f>D128*D9/1000</f>
        <v>0</v>
      </c>
      <c r="E129" s="215"/>
      <c r="F129" s="214">
        <v>155.34</v>
      </c>
      <c r="G129" s="386">
        <v>11.4</v>
      </c>
      <c r="H129" s="105">
        <f>H128*H9/1000</f>
        <v>8.93</v>
      </c>
      <c r="I129" s="105">
        <v>11.4</v>
      </c>
      <c r="J129" s="107">
        <f>J128*J9/1000</f>
        <v>11.43</v>
      </c>
      <c r="K129" s="90">
        <f>J129/(H129+1E-133)*100-100</f>
        <v>28</v>
      </c>
      <c r="L129" s="220">
        <f>L128*L9/1000</f>
        <v>0</v>
      </c>
      <c r="M129" s="90">
        <f>L129/(H129+1E-106)*100-100</f>
        <v>-100</v>
      </c>
      <c r="N129" s="91">
        <f>L129-J129</f>
        <v>-11.43</v>
      </c>
      <c r="O129" s="106"/>
      <c r="P129" s="260">
        <f>H129</f>
        <v>8.93</v>
      </c>
      <c r="Q129" s="211">
        <f>P129/(H129+1E-106)*100-100</f>
        <v>0</v>
      </c>
      <c r="R129" s="425">
        <v>8.9</v>
      </c>
      <c r="S129" s="260">
        <f>P129</f>
        <v>8.93</v>
      </c>
      <c r="T129" s="430">
        <v>8.93</v>
      </c>
      <c r="U129" s="212">
        <f>S129/(P129+1E-106)*100-100</f>
        <v>0</v>
      </c>
      <c r="V129" s="212">
        <f>S129/(H129+1E-106)*100-100</f>
        <v>0</v>
      </c>
      <c r="W129" s="211">
        <f>S129-J129</f>
        <v>-2.5</v>
      </c>
      <c r="X129" s="211"/>
      <c r="Y129" s="77"/>
    </row>
    <row r="130" spans="1:25" s="250" customFormat="1" ht="12" customHeight="1">
      <c r="A130" s="51"/>
      <c r="B130" s="39" t="s">
        <v>34</v>
      </c>
      <c r="C130" s="52" t="s">
        <v>46</v>
      </c>
      <c r="D130" s="247"/>
      <c r="E130" s="203">
        <f>E151/(E129+1E-108)</f>
        <v>0</v>
      </c>
      <c r="F130" s="202">
        <v>15.1</v>
      </c>
      <c r="G130" s="227">
        <v>14.38</v>
      </c>
      <c r="H130" s="98">
        <f>I130</f>
        <v>14.38</v>
      </c>
      <c r="I130" s="98">
        <v>14.38</v>
      </c>
      <c r="J130" s="365">
        <f>S130</f>
        <v>16.09</v>
      </c>
      <c r="K130" s="88">
        <f>J130/(H130+1E-133)*100-100</f>
        <v>11.9</v>
      </c>
      <c r="L130" s="247"/>
      <c r="M130" s="88">
        <f>L130/(H130+1E-106)*100-100</f>
        <v>-100</v>
      </c>
      <c r="N130" s="89">
        <f>L130-J130</f>
        <v>-16.09</v>
      </c>
      <c r="O130" s="87"/>
      <c r="P130" s="229">
        <f>H130</f>
        <v>14.38</v>
      </c>
      <c r="Q130" s="207">
        <f>P130/(H130+1E-106)*100-100</f>
        <v>0</v>
      </c>
      <c r="R130" s="432">
        <f>P130*1.18</f>
        <v>17</v>
      </c>
      <c r="S130" s="229">
        <f>H130*1.119</f>
        <v>16.09</v>
      </c>
      <c r="T130" s="423">
        <f>S130*1.18</f>
        <v>18.99</v>
      </c>
      <c r="U130" s="206">
        <f>S130/(P130+1E-106)*100-100</f>
        <v>11.9</v>
      </c>
      <c r="V130" s="206">
        <f>S130/(H130+1E-106)*100-100</f>
        <v>11.9</v>
      </c>
      <c r="W130" s="207">
        <f>S130-J130</f>
        <v>0</v>
      </c>
      <c r="X130" s="207"/>
      <c r="Y130" s="238" t="s">
        <v>238</v>
      </c>
    </row>
    <row r="131" spans="1:25" ht="12" customHeight="1">
      <c r="A131" s="60"/>
      <c r="B131" s="59" t="s">
        <v>72</v>
      </c>
      <c r="C131" s="31"/>
      <c r="D131" s="217"/>
      <c r="E131" s="225"/>
      <c r="F131" s="217"/>
      <c r="G131" s="218"/>
      <c r="H131" s="105"/>
      <c r="I131" s="105"/>
      <c r="J131" s="226"/>
      <c r="K131" s="106"/>
      <c r="L131" s="220"/>
      <c r="M131" s="90"/>
      <c r="N131" s="91"/>
      <c r="O131" s="106"/>
      <c r="P131" s="260"/>
      <c r="Q131" s="211"/>
      <c r="R131" s="425"/>
      <c r="S131" s="260"/>
      <c r="T131" s="430"/>
      <c r="U131" s="206"/>
      <c r="V131" s="206"/>
      <c r="W131" s="207"/>
      <c r="X131" s="211"/>
      <c r="Y131" s="161"/>
    </row>
    <row r="132" spans="1:25" ht="12" customHeight="1">
      <c r="A132" s="51">
        <v>10</v>
      </c>
      <c r="B132" s="39" t="s">
        <v>94</v>
      </c>
      <c r="C132" s="52" t="s">
        <v>8</v>
      </c>
      <c r="D132" s="204">
        <f>SUMIF(D133:D139,"&gt;0")</f>
        <v>0</v>
      </c>
      <c r="E132" s="248">
        <f>E133+E134+E135+E136+E137+E138+E139</f>
        <v>0</v>
      </c>
      <c r="F132" s="204">
        <v>90128</v>
      </c>
      <c r="G132" s="255">
        <v>7016.4</v>
      </c>
      <c r="H132" s="265">
        <f>H30*H29/1000</f>
        <v>5574.1</v>
      </c>
      <c r="I132" s="265">
        <v>7016.4</v>
      </c>
      <c r="J132" s="371">
        <f>J29*J30/1000</f>
        <v>8202.8</v>
      </c>
      <c r="K132" s="88">
        <f aca="true" t="shared" si="18" ref="K132:K167">J132/(H132+1E-133)*100-100</f>
        <v>47.2</v>
      </c>
      <c r="L132" s="204">
        <f>SUMIF(L133:L139,"&gt;0")</f>
        <v>0</v>
      </c>
      <c r="M132" s="88">
        <f aca="true" t="shared" si="19" ref="M132:M159">L132/(H132+1E-106)*100-100</f>
        <v>-100</v>
      </c>
      <c r="N132" s="89">
        <f>L132-J132</f>
        <v>-8202.8</v>
      </c>
      <c r="O132" s="87">
        <f>L132/($L$198+1E-103)*100</f>
        <v>0</v>
      </c>
      <c r="P132" s="265">
        <f>SUMIF(P133:P139,"&gt;0")</f>
        <v>6174.1</v>
      </c>
      <c r="Q132" s="207">
        <f aca="true" t="shared" si="20" ref="Q132:Q167">P132/(H132+1E-106)*100-100</f>
        <v>10.8</v>
      </c>
      <c r="R132" s="432">
        <f>R29*R30/1000</f>
        <v>7285.4</v>
      </c>
      <c r="S132" s="265">
        <f>SUMIF(S133:S139,"&gt;0")</f>
        <v>6410.2</v>
      </c>
      <c r="T132" s="432">
        <f>T29*T30/1000</f>
        <v>7564.1</v>
      </c>
      <c r="U132" s="206">
        <f aca="true" t="shared" si="21" ref="U132:U163">S132/(P132+1E-106)*100-100</f>
        <v>3.8</v>
      </c>
      <c r="V132" s="206">
        <f aca="true" t="shared" si="22" ref="V132:V163">S132/(H132+1E-106)*100-100</f>
        <v>15</v>
      </c>
      <c r="W132" s="207">
        <f aca="true" t="shared" si="23" ref="W132:W163">S132-J132</f>
        <v>-1792.6</v>
      </c>
      <c r="X132" s="87">
        <f>S132/($S$198+1E-103)*100</f>
        <v>57.1</v>
      </c>
      <c r="Y132" s="266"/>
    </row>
    <row r="133" spans="1:25" ht="12" customHeight="1" hidden="1">
      <c r="A133" s="1" t="s">
        <v>62</v>
      </c>
      <c r="B133" s="40" t="s">
        <v>96</v>
      </c>
      <c r="C133" s="31" t="s">
        <v>8</v>
      </c>
      <c r="D133" s="220">
        <f>D29*D30/1000</f>
        <v>0</v>
      </c>
      <c r="E133" s="252"/>
      <c r="F133" s="213">
        <v>80989.45</v>
      </c>
      <c r="G133" s="252"/>
      <c r="H133" s="105">
        <v>5970.98</v>
      </c>
      <c r="I133" s="105"/>
      <c r="J133" s="372">
        <f>J29*J30/1000</f>
        <v>8202.8</v>
      </c>
      <c r="K133" s="90">
        <f t="shared" si="18"/>
        <v>37.4</v>
      </c>
      <c r="L133" s="220">
        <f>L29*L30/1000</f>
        <v>0</v>
      </c>
      <c r="M133" s="90">
        <f t="shared" si="19"/>
        <v>-100</v>
      </c>
      <c r="N133" s="91">
        <f aca="true" t="shared" si="24" ref="N133:N182">L133-J133</f>
        <v>-8202.8</v>
      </c>
      <c r="O133" s="106"/>
      <c r="P133" s="235">
        <f>P29*P30/1000</f>
        <v>6174.1</v>
      </c>
      <c r="Q133" s="211">
        <f t="shared" si="20"/>
        <v>3.4</v>
      </c>
      <c r="R133" s="425"/>
      <c r="S133" s="235">
        <f>S29*S30/1000</f>
        <v>6410.2</v>
      </c>
      <c r="T133" s="425"/>
      <c r="U133" s="212">
        <f t="shared" si="21"/>
        <v>3.8</v>
      </c>
      <c r="V133" s="212">
        <f t="shared" si="22"/>
        <v>7.4</v>
      </c>
      <c r="W133" s="211">
        <f t="shared" si="23"/>
        <v>-1792.6</v>
      </c>
      <c r="X133" s="106">
        <f aca="true" t="shared" si="25" ref="X133:X187">S133/($S$198+1E-103)*100</f>
        <v>57.1</v>
      </c>
      <c r="Y133" s="158"/>
    </row>
    <row r="134" spans="1:25" ht="12" customHeight="1" hidden="1">
      <c r="A134" s="1" t="s">
        <v>62</v>
      </c>
      <c r="B134" s="40" t="s">
        <v>95</v>
      </c>
      <c r="C134" s="31" t="s">
        <v>8</v>
      </c>
      <c r="D134" s="217">
        <f>D35*D36/1000</f>
        <v>0</v>
      </c>
      <c r="E134" s="252"/>
      <c r="F134" s="213">
        <v>8251.6</v>
      </c>
      <c r="G134" s="252"/>
      <c r="H134" s="94">
        <v>0</v>
      </c>
      <c r="I134" s="94"/>
      <c r="J134" s="372">
        <f>J35*J36/1000</f>
        <v>0</v>
      </c>
      <c r="K134" s="90">
        <f t="shared" si="18"/>
        <v>-100</v>
      </c>
      <c r="L134" s="220">
        <f>L35*L36/1000</f>
        <v>0</v>
      </c>
      <c r="M134" s="90">
        <f t="shared" si="19"/>
        <v>-100</v>
      </c>
      <c r="N134" s="91">
        <f t="shared" si="24"/>
        <v>0</v>
      </c>
      <c r="O134" s="106"/>
      <c r="P134" s="235">
        <f>P35*P36/1000</f>
        <v>0</v>
      </c>
      <c r="Q134" s="211">
        <f t="shared" si="20"/>
        <v>-100</v>
      </c>
      <c r="R134" s="425"/>
      <c r="S134" s="235">
        <f>S35*S36/1000</f>
        <v>0</v>
      </c>
      <c r="T134" s="425"/>
      <c r="U134" s="206">
        <f t="shared" si="21"/>
        <v>-100</v>
      </c>
      <c r="V134" s="206">
        <f t="shared" si="22"/>
        <v>-100</v>
      </c>
      <c r="W134" s="211">
        <f t="shared" si="23"/>
        <v>0</v>
      </c>
      <c r="X134" s="106">
        <f t="shared" si="25"/>
        <v>0</v>
      </c>
      <c r="Y134" s="158"/>
    </row>
    <row r="135" spans="1:25" ht="12" customHeight="1" hidden="1">
      <c r="A135" s="1" t="s">
        <v>62</v>
      </c>
      <c r="B135" s="40" t="s">
        <v>97</v>
      </c>
      <c r="C135" s="31" t="s">
        <v>8</v>
      </c>
      <c r="D135" s="217">
        <f>D41*D42/1000</f>
        <v>0</v>
      </c>
      <c r="E135" s="252"/>
      <c r="F135" s="213">
        <v>0</v>
      </c>
      <c r="G135" s="252"/>
      <c r="H135" s="105">
        <v>0</v>
      </c>
      <c r="I135" s="105"/>
      <c r="J135" s="372">
        <f>J41*J42/1000</f>
        <v>0</v>
      </c>
      <c r="K135" s="90">
        <f t="shared" si="18"/>
        <v>-100</v>
      </c>
      <c r="L135" s="220">
        <f>L41*L42/1000</f>
        <v>0</v>
      </c>
      <c r="M135" s="90">
        <f t="shared" si="19"/>
        <v>-100</v>
      </c>
      <c r="N135" s="91">
        <f t="shared" si="24"/>
        <v>0</v>
      </c>
      <c r="O135" s="106"/>
      <c r="P135" s="235">
        <f>P41*P42/1000</f>
        <v>0</v>
      </c>
      <c r="Q135" s="211">
        <f t="shared" si="20"/>
        <v>-100</v>
      </c>
      <c r="R135" s="425"/>
      <c r="S135" s="235">
        <f>S41*S42/1000</f>
        <v>0</v>
      </c>
      <c r="T135" s="425"/>
      <c r="U135" s="206">
        <f t="shared" si="21"/>
        <v>-100</v>
      </c>
      <c r="V135" s="206">
        <f t="shared" si="22"/>
        <v>-100</v>
      </c>
      <c r="W135" s="211">
        <f t="shared" si="23"/>
        <v>0</v>
      </c>
      <c r="X135" s="106">
        <f t="shared" si="25"/>
        <v>0</v>
      </c>
      <c r="Y135" s="158"/>
    </row>
    <row r="136" spans="1:25" ht="12" customHeight="1" hidden="1">
      <c r="A136" s="1" t="s">
        <v>62</v>
      </c>
      <c r="B136" s="40" t="s">
        <v>98</v>
      </c>
      <c r="C136" s="31" t="s">
        <v>8</v>
      </c>
      <c r="D136" s="217">
        <f>D47*D48/1000</f>
        <v>0</v>
      </c>
      <c r="E136" s="252"/>
      <c r="F136" s="213">
        <v>886.67</v>
      </c>
      <c r="G136" s="252"/>
      <c r="H136" s="105">
        <v>0</v>
      </c>
      <c r="I136" s="105"/>
      <c r="J136" s="372">
        <f>J47*J48/1000</f>
        <v>0</v>
      </c>
      <c r="K136" s="90">
        <f t="shared" si="18"/>
        <v>-100</v>
      </c>
      <c r="L136" s="220">
        <f>L47*L48/1000</f>
        <v>0</v>
      </c>
      <c r="M136" s="90">
        <f t="shared" si="19"/>
        <v>-100</v>
      </c>
      <c r="N136" s="91">
        <f t="shared" si="24"/>
        <v>0</v>
      </c>
      <c r="O136" s="106"/>
      <c r="P136" s="235">
        <f>P47*P48/1000</f>
        <v>0</v>
      </c>
      <c r="Q136" s="211">
        <f t="shared" si="20"/>
        <v>-100</v>
      </c>
      <c r="R136" s="425"/>
      <c r="S136" s="235">
        <f>S47*S48/1000</f>
        <v>0</v>
      </c>
      <c r="T136" s="425"/>
      <c r="U136" s="206">
        <f t="shared" si="21"/>
        <v>-100</v>
      </c>
      <c r="V136" s="206">
        <f t="shared" si="22"/>
        <v>-100</v>
      </c>
      <c r="W136" s="211">
        <f t="shared" si="23"/>
        <v>0</v>
      </c>
      <c r="X136" s="106">
        <f t="shared" si="25"/>
        <v>0</v>
      </c>
      <c r="Y136" s="158"/>
    </row>
    <row r="137" spans="1:25" ht="12" customHeight="1" hidden="1">
      <c r="A137" s="1" t="s">
        <v>62</v>
      </c>
      <c r="B137" s="40" t="s">
        <v>99</v>
      </c>
      <c r="C137" s="31" t="s">
        <v>8</v>
      </c>
      <c r="D137" s="217">
        <f>D53*D54/1000</f>
        <v>0</v>
      </c>
      <c r="E137" s="252"/>
      <c r="F137" s="213">
        <v>0</v>
      </c>
      <c r="G137" s="252"/>
      <c r="H137" s="105">
        <v>0</v>
      </c>
      <c r="I137" s="105"/>
      <c r="J137" s="372">
        <f>J53*J54/1000</f>
        <v>0</v>
      </c>
      <c r="K137" s="90">
        <f t="shared" si="18"/>
        <v>-100</v>
      </c>
      <c r="L137" s="220">
        <f>L53*L54/1000</f>
        <v>0</v>
      </c>
      <c r="M137" s="90">
        <f t="shared" si="19"/>
        <v>-100</v>
      </c>
      <c r="N137" s="91">
        <f t="shared" si="24"/>
        <v>0</v>
      </c>
      <c r="O137" s="106"/>
      <c r="P137" s="235">
        <f>P53*P54/1000</f>
        <v>0</v>
      </c>
      <c r="Q137" s="211">
        <f t="shared" si="20"/>
        <v>-100</v>
      </c>
      <c r="R137" s="425"/>
      <c r="S137" s="235">
        <f>S53*S54/1000</f>
        <v>0</v>
      </c>
      <c r="T137" s="425"/>
      <c r="U137" s="206">
        <f t="shared" si="21"/>
        <v>-100</v>
      </c>
      <c r="V137" s="206">
        <f t="shared" si="22"/>
        <v>-100</v>
      </c>
      <c r="W137" s="211">
        <f t="shared" si="23"/>
        <v>0</v>
      </c>
      <c r="X137" s="106">
        <f t="shared" si="25"/>
        <v>0</v>
      </c>
      <c r="Y137" s="158"/>
    </row>
    <row r="138" spans="1:25" ht="12" customHeight="1" hidden="1">
      <c r="A138" s="1" t="s">
        <v>62</v>
      </c>
      <c r="B138" s="40" t="s">
        <v>100</v>
      </c>
      <c r="C138" s="31" t="s">
        <v>8</v>
      </c>
      <c r="D138" s="217">
        <f>D59*D60/1000</f>
        <v>0</v>
      </c>
      <c r="E138" s="252"/>
      <c r="F138" s="213">
        <v>0</v>
      </c>
      <c r="G138" s="252"/>
      <c r="H138" s="105">
        <v>0</v>
      </c>
      <c r="I138" s="105"/>
      <c r="J138" s="372">
        <f>J59*J60/1000</f>
        <v>0</v>
      </c>
      <c r="K138" s="90">
        <f t="shared" si="18"/>
        <v>-100</v>
      </c>
      <c r="L138" s="220">
        <f>L59*L60/1000</f>
        <v>0</v>
      </c>
      <c r="M138" s="90">
        <f t="shared" si="19"/>
        <v>-100</v>
      </c>
      <c r="N138" s="91">
        <f t="shared" si="24"/>
        <v>0</v>
      </c>
      <c r="O138" s="106"/>
      <c r="P138" s="235">
        <f>P59*P60/1000</f>
        <v>0</v>
      </c>
      <c r="Q138" s="211">
        <f t="shared" si="20"/>
        <v>-100</v>
      </c>
      <c r="R138" s="425"/>
      <c r="S138" s="235">
        <f>S59*S60/1000</f>
        <v>0</v>
      </c>
      <c r="T138" s="425"/>
      <c r="U138" s="206">
        <f t="shared" si="21"/>
        <v>-100</v>
      </c>
      <c r="V138" s="206">
        <f t="shared" si="22"/>
        <v>-100</v>
      </c>
      <c r="W138" s="211">
        <f t="shared" si="23"/>
        <v>0</v>
      </c>
      <c r="X138" s="106">
        <f t="shared" si="25"/>
        <v>0</v>
      </c>
      <c r="Y138" s="158"/>
    </row>
    <row r="139" spans="1:25" ht="12" customHeight="1" hidden="1">
      <c r="A139" s="1" t="s">
        <v>62</v>
      </c>
      <c r="B139" s="40" t="s">
        <v>101</v>
      </c>
      <c r="C139" s="31" t="s">
        <v>8</v>
      </c>
      <c r="D139" s="217">
        <f>D65*D66/1000</f>
        <v>0</v>
      </c>
      <c r="E139" s="252"/>
      <c r="F139" s="213">
        <v>0</v>
      </c>
      <c r="G139" s="252"/>
      <c r="H139" s="105">
        <v>0</v>
      </c>
      <c r="I139" s="105"/>
      <c r="J139" s="372">
        <f>J65*J66/1000</f>
        <v>0</v>
      </c>
      <c r="K139" s="90">
        <f t="shared" si="18"/>
        <v>-100</v>
      </c>
      <c r="L139" s="220">
        <f>L65*L66/1000</f>
        <v>0</v>
      </c>
      <c r="M139" s="90">
        <f t="shared" si="19"/>
        <v>-100</v>
      </c>
      <c r="N139" s="91">
        <f t="shared" si="24"/>
        <v>0</v>
      </c>
      <c r="O139" s="106"/>
      <c r="P139" s="235">
        <f>P65*P66/1000</f>
        <v>0</v>
      </c>
      <c r="Q139" s="211">
        <f t="shared" si="20"/>
        <v>-100</v>
      </c>
      <c r="R139" s="425"/>
      <c r="S139" s="235">
        <f>S65*S66/1000</f>
        <v>0</v>
      </c>
      <c r="T139" s="425"/>
      <c r="U139" s="206">
        <f t="shared" si="21"/>
        <v>-100</v>
      </c>
      <c r="V139" s="206">
        <f t="shared" si="22"/>
        <v>-100</v>
      </c>
      <c r="W139" s="211">
        <f t="shared" si="23"/>
        <v>0</v>
      </c>
      <c r="X139" s="106">
        <f t="shared" si="25"/>
        <v>0</v>
      </c>
      <c r="Y139" s="158"/>
    </row>
    <row r="140" spans="1:25" s="250" customFormat="1" ht="12" customHeight="1">
      <c r="A140" s="51">
        <v>11</v>
      </c>
      <c r="B140" s="39" t="s">
        <v>9</v>
      </c>
      <c r="C140" s="52" t="s">
        <v>8</v>
      </c>
      <c r="D140" s="204">
        <f>D141+D146</f>
        <v>0</v>
      </c>
      <c r="E140" s="255">
        <f>E141+E146</f>
        <v>0</v>
      </c>
      <c r="F140" s="204">
        <v>24420.19</v>
      </c>
      <c r="G140" s="255">
        <v>1332.1</v>
      </c>
      <c r="H140" s="113">
        <f>H80*H79</f>
        <v>836.01</v>
      </c>
      <c r="I140" s="113">
        <v>1332.1</v>
      </c>
      <c r="J140" s="371">
        <f>J79*J80</f>
        <v>1439.1</v>
      </c>
      <c r="K140" s="88">
        <f t="shared" si="18"/>
        <v>72.1</v>
      </c>
      <c r="L140" s="204">
        <f>L141+L146</f>
        <v>0</v>
      </c>
      <c r="M140" s="88">
        <f t="shared" si="19"/>
        <v>-100</v>
      </c>
      <c r="N140" s="89">
        <f t="shared" si="24"/>
        <v>-1439.1</v>
      </c>
      <c r="O140" s="87">
        <f>L140/($L$198+1E-103)*100</f>
        <v>0</v>
      </c>
      <c r="P140" s="113">
        <f>P80*P79</f>
        <v>836.07</v>
      </c>
      <c r="Q140" s="207">
        <f t="shared" si="20"/>
        <v>0</v>
      </c>
      <c r="R140" s="433">
        <f>R80*R79</f>
        <v>987.1</v>
      </c>
      <c r="S140" s="113">
        <f>S80*S79</f>
        <v>903.5</v>
      </c>
      <c r="T140" s="433">
        <f>T80*T79</f>
        <v>1065.32</v>
      </c>
      <c r="U140" s="206">
        <f t="shared" si="21"/>
        <v>8.1</v>
      </c>
      <c r="V140" s="206">
        <f t="shared" si="22"/>
        <v>8.1</v>
      </c>
      <c r="W140" s="207">
        <f t="shared" si="23"/>
        <v>-535.6</v>
      </c>
      <c r="X140" s="87">
        <f t="shared" si="25"/>
        <v>8</v>
      </c>
      <c r="Y140" s="267"/>
    </row>
    <row r="141" spans="1:27" ht="12" customHeight="1" hidden="1">
      <c r="A141" s="51"/>
      <c r="B141" s="155" t="s">
        <v>163</v>
      </c>
      <c r="C141" s="31" t="s">
        <v>8</v>
      </c>
      <c r="D141" s="220">
        <f>SUMIF(D142:D145,"&gt;0")</f>
        <v>0</v>
      </c>
      <c r="E141" s="237">
        <f>E142+E143+E144+E145</f>
        <v>0</v>
      </c>
      <c r="F141" s="220">
        <v>24420.19</v>
      </c>
      <c r="G141" s="219"/>
      <c r="H141" s="151">
        <v>1784.03</v>
      </c>
      <c r="I141" s="151"/>
      <c r="J141" s="372"/>
      <c r="K141" s="90">
        <f t="shared" si="18"/>
        <v>-100</v>
      </c>
      <c r="L141" s="268"/>
      <c r="M141" s="90">
        <f t="shared" si="19"/>
        <v>-100</v>
      </c>
      <c r="N141" s="91">
        <f t="shared" si="24"/>
        <v>0</v>
      </c>
      <c r="O141" s="106"/>
      <c r="P141" s="235"/>
      <c r="Q141" s="211">
        <f t="shared" si="20"/>
        <v>-100</v>
      </c>
      <c r="R141" s="425"/>
      <c r="S141" s="235"/>
      <c r="T141" s="425"/>
      <c r="U141" s="212">
        <f t="shared" si="21"/>
        <v>-100</v>
      </c>
      <c r="V141" s="212">
        <f t="shared" si="22"/>
        <v>-100</v>
      </c>
      <c r="W141" s="211">
        <f t="shared" si="23"/>
        <v>0</v>
      </c>
      <c r="X141" s="106">
        <f t="shared" si="25"/>
        <v>0</v>
      </c>
      <c r="Y141" s="162"/>
      <c r="AA141" s="7"/>
    </row>
    <row r="142" spans="1:27" ht="12" customHeight="1" hidden="1">
      <c r="A142" s="1" t="s">
        <v>62</v>
      </c>
      <c r="B142" s="40" t="s">
        <v>124</v>
      </c>
      <c r="C142" s="31" t="s">
        <v>8</v>
      </c>
      <c r="D142" s="220">
        <f>D79*D80</f>
        <v>0</v>
      </c>
      <c r="E142" s="252"/>
      <c r="F142" s="213">
        <v>24420.19</v>
      </c>
      <c r="G142" s="252"/>
      <c r="H142" s="105">
        <v>1784.03</v>
      </c>
      <c r="I142" s="105"/>
      <c r="J142" s="372"/>
      <c r="K142" s="90">
        <f t="shared" si="18"/>
        <v>-100</v>
      </c>
      <c r="L142" s="220"/>
      <c r="M142" s="90">
        <f t="shared" si="19"/>
        <v>-100</v>
      </c>
      <c r="N142" s="91">
        <f t="shared" si="24"/>
        <v>0</v>
      </c>
      <c r="O142" s="106"/>
      <c r="P142" s="235"/>
      <c r="Q142" s="211">
        <f t="shared" si="20"/>
        <v>-100</v>
      </c>
      <c r="R142" s="425"/>
      <c r="S142" s="235"/>
      <c r="T142" s="425"/>
      <c r="U142" s="212">
        <f t="shared" si="21"/>
        <v>-100</v>
      </c>
      <c r="V142" s="212">
        <f t="shared" si="22"/>
        <v>-100</v>
      </c>
      <c r="W142" s="211">
        <f t="shared" si="23"/>
        <v>0</v>
      </c>
      <c r="X142" s="106">
        <f t="shared" si="25"/>
        <v>0</v>
      </c>
      <c r="Y142" s="162"/>
      <c r="AA142" s="7"/>
    </row>
    <row r="143" spans="1:27" ht="12" customHeight="1" hidden="1">
      <c r="A143" s="1" t="s">
        <v>62</v>
      </c>
      <c r="B143" s="40" t="s">
        <v>125</v>
      </c>
      <c r="C143" s="31" t="s">
        <v>8</v>
      </c>
      <c r="D143" s="217">
        <f>D85*D86</f>
        <v>0</v>
      </c>
      <c r="E143" s="252"/>
      <c r="F143" s="213">
        <v>0</v>
      </c>
      <c r="G143" s="252"/>
      <c r="H143" s="105">
        <v>0</v>
      </c>
      <c r="I143" s="105"/>
      <c r="J143" s="372"/>
      <c r="K143" s="90">
        <f t="shared" si="18"/>
        <v>-100</v>
      </c>
      <c r="L143" s="220"/>
      <c r="M143" s="90">
        <f t="shared" si="19"/>
        <v>-100</v>
      </c>
      <c r="N143" s="91">
        <f t="shared" si="24"/>
        <v>0</v>
      </c>
      <c r="O143" s="106"/>
      <c r="P143" s="235"/>
      <c r="Q143" s="211">
        <f t="shared" si="20"/>
        <v>-100</v>
      </c>
      <c r="R143" s="425"/>
      <c r="S143" s="235"/>
      <c r="T143" s="425"/>
      <c r="U143" s="206">
        <f t="shared" si="21"/>
        <v>-100</v>
      </c>
      <c r="V143" s="206">
        <f t="shared" si="22"/>
        <v>-100</v>
      </c>
      <c r="W143" s="211">
        <f t="shared" si="23"/>
        <v>0</v>
      </c>
      <c r="X143" s="106">
        <f t="shared" si="25"/>
        <v>0</v>
      </c>
      <c r="Y143" s="162"/>
      <c r="AA143" s="7"/>
    </row>
    <row r="144" spans="1:27" ht="12" customHeight="1" hidden="1">
      <c r="A144" s="1" t="s">
        <v>62</v>
      </c>
      <c r="B144" s="40" t="s">
        <v>126</v>
      </c>
      <c r="C144" s="31" t="s">
        <v>8</v>
      </c>
      <c r="D144" s="217">
        <f>D91*D92</f>
        <v>0</v>
      </c>
      <c r="E144" s="252"/>
      <c r="F144" s="213">
        <v>0</v>
      </c>
      <c r="G144" s="252"/>
      <c r="H144" s="105">
        <v>0</v>
      </c>
      <c r="I144" s="105"/>
      <c r="J144" s="372"/>
      <c r="K144" s="90">
        <f t="shared" si="18"/>
        <v>-100</v>
      </c>
      <c r="L144" s="220"/>
      <c r="M144" s="90">
        <f t="shared" si="19"/>
        <v>-100</v>
      </c>
      <c r="N144" s="91">
        <f t="shared" si="24"/>
        <v>0</v>
      </c>
      <c r="O144" s="106"/>
      <c r="P144" s="235"/>
      <c r="Q144" s="211">
        <f t="shared" si="20"/>
        <v>-100</v>
      </c>
      <c r="R144" s="425"/>
      <c r="S144" s="235"/>
      <c r="T144" s="425"/>
      <c r="U144" s="206">
        <f t="shared" si="21"/>
        <v>-100</v>
      </c>
      <c r="V144" s="206">
        <f t="shared" si="22"/>
        <v>-100</v>
      </c>
      <c r="W144" s="211">
        <f t="shared" si="23"/>
        <v>0</v>
      </c>
      <c r="X144" s="106">
        <f t="shared" si="25"/>
        <v>0</v>
      </c>
      <c r="Y144" s="162"/>
      <c r="AA144" s="7"/>
    </row>
    <row r="145" spans="1:27" ht="12" customHeight="1" hidden="1">
      <c r="A145" s="1" t="s">
        <v>62</v>
      </c>
      <c r="B145" s="40" t="s">
        <v>127</v>
      </c>
      <c r="C145" s="31" t="s">
        <v>8</v>
      </c>
      <c r="D145" s="217">
        <f>D97*D98</f>
        <v>0</v>
      </c>
      <c r="E145" s="252"/>
      <c r="F145" s="213">
        <v>0</v>
      </c>
      <c r="G145" s="252"/>
      <c r="H145" s="105">
        <v>0</v>
      </c>
      <c r="I145" s="105"/>
      <c r="J145" s="372"/>
      <c r="K145" s="90">
        <f t="shared" si="18"/>
        <v>-100</v>
      </c>
      <c r="L145" s="220"/>
      <c r="M145" s="90">
        <f t="shared" si="19"/>
        <v>-100</v>
      </c>
      <c r="N145" s="91">
        <f t="shared" si="24"/>
        <v>0</v>
      </c>
      <c r="O145" s="106"/>
      <c r="P145" s="235"/>
      <c r="Q145" s="211">
        <f t="shared" si="20"/>
        <v>-100</v>
      </c>
      <c r="R145" s="425"/>
      <c r="S145" s="235"/>
      <c r="T145" s="425"/>
      <c r="U145" s="206">
        <f t="shared" si="21"/>
        <v>-100</v>
      </c>
      <c r="V145" s="206">
        <f t="shared" si="22"/>
        <v>-100</v>
      </c>
      <c r="W145" s="211">
        <f t="shared" si="23"/>
        <v>0</v>
      </c>
      <c r="X145" s="106">
        <f t="shared" si="25"/>
        <v>0</v>
      </c>
      <c r="Y145" s="162"/>
      <c r="AA145" s="7"/>
    </row>
    <row r="146" spans="1:27" ht="12" customHeight="1" hidden="1">
      <c r="A146" s="1"/>
      <c r="B146" s="155" t="s">
        <v>164</v>
      </c>
      <c r="C146" s="31" t="s">
        <v>8</v>
      </c>
      <c r="D146" s="202">
        <f>SUMIF(D147:D150,"&gt;0")</f>
        <v>0</v>
      </c>
      <c r="E146" s="219">
        <f>E147+E148+E149+E150</f>
        <v>0</v>
      </c>
      <c r="F146" s="220">
        <v>0</v>
      </c>
      <c r="G146" s="219"/>
      <c r="H146" s="151">
        <v>0</v>
      </c>
      <c r="I146" s="151"/>
      <c r="J146" s="372">
        <f>SUMIF(J147:J150,"&gt;0")</f>
        <v>0</v>
      </c>
      <c r="K146" s="90">
        <f t="shared" si="18"/>
        <v>-100</v>
      </c>
      <c r="L146" s="204">
        <f>SUMIF(L147:L150,"&gt;0")</f>
        <v>0</v>
      </c>
      <c r="M146" s="90">
        <f t="shared" si="19"/>
        <v>-100</v>
      </c>
      <c r="N146" s="91">
        <f t="shared" si="24"/>
        <v>0</v>
      </c>
      <c r="O146" s="106"/>
      <c r="P146" s="235">
        <f>SUMIF(P147:P150,"&gt;0")</f>
        <v>0</v>
      </c>
      <c r="Q146" s="211">
        <f t="shared" si="20"/>
        <v>-100</v>
      </c>
      <c r="R146" s="425"/>
      <c r="S146" s="235">
        <f>SUMIF(S147:S150,"&gt;0")</f>
        <v>0</v>
      </c>
      <c r="T146" s="425"/>
      <c r="U146" s="206">
        <f t="shared" si="21"/>
        <v>-100</v>
      </c>
      <c r="V146" s="206">
        <f t="shared" si="22"/>
        <v>-100</v>
      </c>
      <c r="W146" s="211">
        <f t="shared" si="23"/>
        <v>0</v>
      </c>
      <c r="X146" s="106">
        <f t="shared" si="25"/>
        <v>0</v>
      </c>
      <c r="Y146" s="162"/>
      <c r="AA146" s="7"/>
    </row>
    <row r="147" spans="1:27" ht="12" customHeight="1" hidden="1">
      <c r="A147" s="1" t="s">
        <v>62</v>
      </c>
      <c r="B147" s="40" t="s">
        <v>124</v>
      </c>
      <c r="C147" s="31" t="s">
        <v>8</v>
      </c>
      <c r="D147" s="217">
        <f>D104*D105</f>
        <v>0</v>
      </c>
      <c r="E147" s="252"/>
      <c r="F147" s="213">
        <v>0</v>
      </c>
      <c r="G147" s="252"/>
      <c r="H147" s="105">
        <v>0</v>
      </c>
      <c r="I147" s="105"/>
      <c r="J147" s="372">
        <f>J104*J105+J107*12*J108</f>
        <v>0</v>
      </c>
      <c r="K147" s="90">
        <f t="shared" si="18"/>
        <v>-100</v>
      </c>
      <c r="L147" s="220">
        <f>L104*L105+L107*12*L108</f>
        <v>0</v>
      </c>
      <c r="M147" s="90">
        <f t="shared" si="19"/>
        <v>-100</v>
      </c>
      <c r="N147" s="91">
        <f t="shared" si="24"/>
        <v>0</v>
      </c>
      <c r="O147" s="106"/>
      <c r="P147" s="235">
        <f>P104*P105+P107*12*P108</f>
        <v>0</v>
      </c>
      <c r="Q147" s="211">
        <f t="shared" si="20"/>
        <v>-100</v>
      </c>
      <c r="R147" s="425"/>
      <c r="S147" s="235">
        <f>S104*S105+S107*12*S108</f>
        <v>0</v>
      </c>
      <c r="T147" s="425"/>
      <c r="U147" s="206">
        <f t="shared" si="21"/>
        <v>-100</v>
      </c>
      <c r="V147" s="206">
        <f t="shared" si="22"/>
        <v>-100</v>
      </c>
      <c r="W147" s="211">
        <f t="shared" si="23"/>
        <v>0</v>
      </c>
      <c r="X147" s="106">
        <f t="shared" si="25"/>
        <v>0</v>
      </c>
      <c r="Y147" s="162"/>
      <c r="AA147" s="7"/>
    </row>
    <row r="148" spans="1:27" ht="12" customHeight="1" hidden="1">
      <c r="A148" s="1" t="s">
        <v>62</v>
      </c>
      <c r="B148" s="40" t="s">
        <v>125</v>
      </c>
      <c r="C148" s="31" t="s">
        <v>8</v>
      </c>
      <c r="D148" s="217">
        <f>D110*D111</f>
        <v>0</v>
      </c>
      <c r="E148" s="252"/>
      <c r="F148" s="213">
        <v>0</v>
      </c>
      <c r="G148" s="252"/>
      <c r="H148" s="105">
        <v>0</v>
      </c>
      <c r="I148" s="105"/>
      <c r="J148" s="372">
        <f>J110*J111+J113*12*J114</f>
        <v>0</v>
      </c>
      <c r="K148" s="90">
        <f t="shared" si="18"/>
        <v>-100</v>
      </c>
      <c r="L148" s="220">
        <f>L110*L111+L113*12*L114</f>
        <v>0</v>
      </c>
      <c r="M148" s="90">
        <f t="shared" si="19"/>
        <v>-100</v>
      </c>
      <c r="N148" s="91">
        <f t="shared" si="24"/>
        <v>0</v>
      </c>
      <c r="O148" s="106"/>
      <c r="P148" s="235">
        <f>P110*P111+P113*12*P114</f>
        <v>0</v>
      </c>
      <c r="Q148" s="211">
        <f t="shared" si="20"/>
        <v>-100</v>
      </c>
      <c r="R148" s="425"/>
      <c r="S148" s="235">
        <f>S110*S111+S113*12*S114</f>
        <v>0</v>
      </c>
      <c r="T148" s="425"/>
      <c r="U148" s="206">
        <f t="shared" si="21"/>
        <v>-100</v>
      </c>
      <c r="V148" s="206">
        <f t="shared" si="22"/>
        <v>-100</v>
      </c>
      <c r="W148" s="211">
        <f t="shared" si="23"/>
        <v>0</v>
      </c>
      <c r="X148" s="106">
        <f t="shared" si="25"/>
        <v>0</v>
      </c>
      <c r="Y148" s="162"/>
      <c r="AA148" s="7"/>
    </row>
    <row r="149" spans="1:27" ht="12" customHeight="1" hidden="1">
      <c r="A149" s="1" t="s">
        <v>62</v>
      </c>
      <c r="B149" s="40" t="s">
        <v>126</v>
      </c>
      <c r="C149" s="31" t="s">
        <v>8</v>
      </c>
      <c r="D149" s="217">
        <f>D116*D117</f>
        <v>0</v>
      </c>
      <c r="E149" s="252"/>
      <c r="F149" s="213">
        <v>0</v>
      </c>
      <c r="G149" s="252"/>
      <c r="H149" s="105">
        <v>0</v>
      </c>
      <c r="I149" s="105"/>
      <c r="J149" s="372">
        <f>J116*J117+J119*12*J120</f>
        <v>0</v>
      </c>
      <c r="K149" s="90">
        <f t="shared" si="18"/>
        <v>-100</v>
      </c>
      <c r="L149" s="220">
        <f>L116*L117+L119*12*L120</f>
        <v>0</v>
      </c>
      <c r="M149" s="90">
        <f t="shared" si="19"/>
        <v>-100</v>
      </c>
      <c r="N149" s="91">
        <f t="shared" si="24"/>
        <v>0</v>
      </c>
      <c r="O149" s="106"/>
      <c r="P149" s="235">
        <f>P116*P117+P119*12*P120</f>
        <v>0</v>
      </c>
      <c r="Q149" s="211">
        <f t="shared" si="20"/>
        <v>-100</v>
      </c>
      <c r="R149" s="425"/>
      <c r="S149" s="235">
        <f>S116*S117+S119*12*S120</f>
        <v>0</v>
      </c>
      <c r="T149" s="425"/>
      <c r="U149" s="206">
        <f t="shared" si="21"/>
        <v>-100</v>
      </c>
      <c r="V149" s="206">
        <f t="shared" si="22"/>
        <v>-100</v>
      </c>
      <c r="W149" s="211">
        <f t="shared" si="23"/>
        <v>0</v>
      </c>
      <c r="X149" s="106">
        <f t="shared" si="25"/>
        <v>0</v>
      </c>
      <c r="Y149" s="162"/>
      <c r="AA149" s="7"/>
    </row>
    <row r="150" spans="1:27" ht="12" customHeight="1" hidden="1">
      <c r="A150" s="1" t="s">
        <v>62</v>
      </c>
      <c r="B150" s="40" t="s">
        <v>127</v>
      </c>
      <c r="C150" s="31" t="s">
        <v>8</v>
      </c>
      <c r="D150" s="217">
        <f>D122*D123</f>
        <v>0</v>
      </c>
      <c r="E150" s="252"/>
      <c r="F150" s="213">
        <v>0</v>
      </c>
      <c r="G150" s="252"/>
      <c r="H150" s="105">
        <v>0</v>
      </c>
      <c r="I150" s="105"/>
      <c r="J150" s="372">
        <f>J122*J123+J125*12*J126</f>
        <v>0</v>
      </c>
      <c r="K150" s="90">
        <f t="shared" si="18"/>
        <v>-100</v>
      </c>
      <c r="L150" s="220">
        <f>L122*L123+L125*12*L126</f>
        <v>0</v>
      </c>
      <c r="M150" s="90">
        <f t="shared" si="19"/>
        <v>-100</v>
      </c>
      <c r="N150" s="91">
        <f t="shared" si="24"/>
        <v>0</v>
      </c>
      <c r="O150" s="106"/>
      <c r="P150" s="235">
        <f>P122*P123+P125*12*P126</f>
        <v>0</v>
      </c>
      <c r="Q150" s="211">
        <f t="shared" si="20"/>
        <v>-100</v>
      </c>
      <c r="R150" s="425"/>
      <c r="S150" s="235">
        <f>S122*S123+S125*12*S126</f>
        <v>0</v>
      </c>
      <c r="T150" s="425"/>
      <c r="U150" s="206">
        <f t="shared" si="21"/>
        <v>-100</v>
      </c>
      <c r="V150" s="206">
        <f t="shared" si="22"/>
        <v>-100</v>
      </c>
      <c r="W150" s="211">
        <f t="shared" si="23"/>
        <v>0</v>
      </c>
      <c r="X150" s="106">
        <f t="shared" si="25"/>
        <v>0</v>
      </c>
      <c r="Y150" s="162"/>
      <c r="AA150" s="7"/>
    </row>
    <row r="151" spans="1:25" s="250" customFormat="1" ht="12" customHeight="1">
      <c r="A151" s="51">
        <v>12</v>
      </c>
      <c r="B151" s="39" t="s">
        <v>10</v>
      </c>
      <c r="C151" s="52" t="s">
        <v>8</v>
      </c>
      <c r="D151" s="204">
        <f>D130*D129</f>
        <v>0</v>
      </c>
      <c r="E151" s="249"/>
      <c r="F151" s="247">
        <v>2345.59</v>
      </c>
      <c r="G151" s="374">
        <v>163.93</v>
      </c>
      <c r="H151" s="113">
        <f>H130*H129</f>
        <v>128.41</v>
      </c>
      <c r="I151" s="113">
        <v>163.93</v>
      </c>
      <c r="J151" s="371">
        <f>J130*J129</f>
        <v>183.9</v>
      </c>
      <c r="K151" s="88">
        <f t="shared" si="18"/>
        <v>43.2</v>
      </c>
      <c r="L151" s="204">
        <f>L130*L129</f>
        <v>0</v>
      </c>
      <c r="M151" s="88">
        <f t="shared" si="19"/>
        <v>-100</v>
      </c>
      <c r="N151" s="89">
        <f t="shared" si="24"/>
        <v>-183.9</v>
      </c>
      <c r="O151" s="87">
        <f>L151/($L$198+1E-103)*100</f>
        <v>0</v>
      </c>
      <c r="P151" s="265">
        <f>P130*P129</f>
        <v>128.4</v>
      </c>
      <c r="Q151" s="207">
        <f t="shared" si="20"/>
        <v>0</v>
      </c>
      <c r="R151" s="432">
        <f>R130*R129</f>
        <v>151.3</v>
      </c>
      <c r="S151" s="265">
        <f>S130*S129</f>
        <v>143.7</v>
      </c>
      <c r="T151" s="432">
        <f>T130*T129</f>
        <v>169.6</v>
      </c>
      <c r="U151" s="206">
        <f t="shared" si="21"/>
        <v>11.9</v>
      </c>
      <c r="V151" s="206">
        <f t="shared" si="22"/>
        <v>11.9</v>
      </c>
      <c r="W151" s="207">
        <f t="shared" si="23"/>
        <v>-40.2</v>
      </c>
      <c r="X151" s="87">
        <f t="shared" si="25"/>
        <v>1.3</v>
      </c>
      <c r="Y151" s="269"/>
    </row>
    <row r="152" spans="1:25" s="250" customFormat="1" ht="12" customHeight="1">
      <c r="A152" s="51">
        <v>13</v>
      </c>
      <c r="B152" s="39" t="s">
        <v>11</v>
      </c>
      <c r="C152" s="52" t="s">
        <v>8</v>
      </c>
      <c r="D152" s="247"/>
      <c r="E152" s="249"/>
      <c r="F152" s="247">
        <v>678.71</v>
      </c>
      <c r="G152" s="374">
        <v>164.36</v>
      </c>
      <c r="H152" s="98">
        <f>I152</f>
        <v>164.36</v>
      </c>
      <c r="I152" s="98">
        <v>164.36</v>
      </c>
      <c r="J152" s="365">
        <f>S152</f>
        <v>169.3</v>
      </c>
      <c r="K152" s="88">
        <f t="shared" si="18"/>
        <v>3</v>
      </c>
      <c r="L152" s="247"/>
      <c r="M152" s="88"/>
      <c r="N152" s="89"/>
      <c r="O152" s="87"/>
      <c r="P152" s="229">
        <f>H152</f>
        <v>164.36</v>
      </c>
      <c r="Q152" s="207">
        <f t="shared" si="20"/>
        <v>0</v>
      </c>
      <c r="R152" s="432">
        <f>P152*1.18</f>
        <v>193.9</v>
      </c>
      <c r="S152" s="265">
        <f>P152*1.03</f>
        <v>169.3</v>
      </c>
      <c r="T152" s="432">
        <f>S152*1.18</f>
        <v>199.8</v>
      </c>
      <c r="U152" s="206">
        <f t="shared" si="21"/>
        <v>3</v>
      </c>
      <c r="V152" s="206">
        <f t="shared" si="22"/>
        <v>3</v>
      </c>
      <c r="W152" s="207">
        <f t="shared" si="23"/>
        <v>0</v>
      </c>
      <c r="X152" s="87">
        <f>S152/($S$198+1E-103)*100</f>
        <v>1.5</v>
      </c>
      <c r="Y152" s="270"/>
    </row>
    <row r="153" spans="1:25" s="250" customFormat="1" ht="12" customHeight="1">
      <c r="A153" s="51">
        <v>14</v>
      </c>
      <c r="B153" s="39" t="s">
        <v>12</v>
      </c>
      <c r="C153" s="52" t="s">
        <v>8</v>
      </c>
      <c r="D153" s="247"/>
      <c r="E153" s="249"/>
      <c r="F153" s="247">
        <v>11596.47</v>
      </c>
      <c r="G153" s="374">
        <v>1242.38</v>
      </c>
      <c r="H153" s="98">
        <v>1053.98</v>
      </c>
      <c r="I153" s="98">
        <v>1242.38</v>
      </c>
      <c r="J153" s="369">
        <f>G153*1.051</f>
        <v>1305.74</v>
      </c>
      <c r="K153" s="88">
        <f t="shared" si="18"/>
        <v>23.9</v>
      </c>
      <c r="L153" s="247"/>
      <c r="M153" s="88">
        <f t="shared" si="19"/>
        <v>-100</v>
      </c>
      <c r="N153" s="89">
        <f t="shared" si="24"/>
        <v>-1305.74</v>
      </c>
      <c r="O153" s="87">
        <f>L153/($L$198+1E-103)*100</f>
        <v>0</v>
      </c>
      <c r="P153" s="229">
        <f>H153</f>
        <v>1053.98</v>
      </c>
      <c r="Q153" s="207">
        <f t="shared" si="20"/>
        <v>0</v>
      </c>
      <c r="R153" s="432">
        <v>1054</v>
      </c>
      <c r="S153" s="265">
        <v>1219.1</v>
      </c>
      <c r="T153" s="432">
        <v>1219.1</v>
      </c>
      <c r="U153" s="206">
        <f t="shared" si="21"/>
        <v>15.7</v>
      </c>
      <c r="V153" s="206">
        <f t="shared" si="22"/>
        <v>15.7</v>
      </c>
      <c r="W153" s="207">
        <f t="shared" si="23"/>
        <v>-86.6</v>
      </c>
      <c r="X153" s="87">
        <f t="shared" si="25"/>
        <v>10.9</v>
      </c>
      <c r="Y153" s="270"/>
    </row>
    <row r="154" spans="1:25" ht="12" customHeight="1">
      <c r="A154" s="1"/>
      <c r="B154" s="40" t="s">
        <v>13</v>
      </c>
      <c r="C154" s="44" t="s">
        <v>14</v>
      </c>
      <c r="D154" s="214">
        <f>D153/12/(D155+1E-100)*1000</f>
        <v>0</v>
      </c>
      <c r="E154" s="252">
        <f>E153/12/(E155+1E-100)*1000</f>
        <v>0</v>
      </c>
      <c r="F154" s="213">
        <v>7211.73</v>
      </c>
      <c r="G154" s="252">
        <v>9412</v>
      </c>
      <c r="H154" s="235">
        <f>H153/12/(H155+1E-100)*1000</f>
        <v>8783.2</v>
      </c>
      <c r="I154" s="213">
        <v>9412</v>
      </c>
      <c r="J154" s="373">
        <f>J153/J155/12*1000</f>
        <v>10881.2</v>
      </c>
      <c r="K154" s="90">
        <f t="shared" si="18"/>
        <v>23.9</v>
      </c>
      <c r="L154" s="213">
        <f>L153/12/(L155+1E-100)*1000</f>
        <v>0</v>
      </c>
      <c r="M154" s="90">
        <f t="shared" si="19"/>
        <v>-100</v>
      </c>
      <c r="N154" s="91">
        <f t="shared" si="24"/>
        <v>-10881.2</v>
      </c>
      <c r="O154" s="106"/>
      <c r="P154" s="235">
        <f>P153/12/(P155+1E-100)*1000</f>
        <v>8783.2</v>
      </c>
      <c r="Q154" s="211">
        <f t="shared" si="20"/>
        <v>0</v>
      </c>
      <c r="R154" s="425">
        <v>8783.2</v>
      </c>
      <c r="S154" s="235">
        <f>S153/12/(S155+1E-100)*1000</f>
        <v>10159.2</v>
      </c>
      <c r="T154" s="425">
        <v>10159.2</v>
      </c>
      <c r="U154" s="212">
        <f t="shared" si="21"/>
        <v>15.7</v>
      </c>
      <c r="V154" s="212">
        <f t="shared" si="22"/>
        <v>15.7</v>
      </c>
      <c r="W154" s="211">
        <f t="shared" si="23"/>
        <v>-722</v>
      </c>
      <c r="X154" s="106"/>
      <c r="Y154" s="163"/>
    </row>
    <row r="155" spans="1:25" ht="12" customHeight="1">
      <c r="A155" s="1"/>
      <c r="B155" s="40" t="s">
        <v>35</v>
      </c>
      <c r="C155" s="44" t="s">
        <v>42</v>
      </c>
      <c r="D155" s="271"/>
      <c r="E155" s="272"/>
      <c r="F155" s="295">
        <v>134</v>
      </c>
      <c r="G155" s="389">
        <v>10</v>
      </c>
      <c r="H155" s="98">
        <v>10</v>
      </c>
      <c r="I155" s="98">
        <v>10</v>
      </c>
      <c r="J155" s="365">
        <v>10</v>
      </c>
      <c r="K155" s="90">
        <f t="shared" si="18"/>
        <v>0</v>
      </c>
      <c r="L155" s="213"/>
      <c r="M155" s="90">
        <f t="shared" si="19"/>
        <v>-100</v>
      </c>
      <c r="N155" s="91">
        <f t="shared" si="24"/>
        <v>-10</v>
      </c>
      <c r="O155" s="106"/>
      <c r="P155" s="235">
        <f>H155</f>
        <v>10</v>
      </c>
      <c r="Q155" s="211">
        <f t="shared" si="20"/>
        <v>0</v>
      </c>
      <c r="R155" s="425">
        <v>10</v>
      </c>
      <c r="S155" s="235">
        <f>H155</f>
        <v>10</v>
      </c>
      <c r="T155" s="425">
        <v>10</v>
      </c>
      <c r="U155" s="212">
        <f t="shared" si="21"/>
        <v>0</v>
      </c>
      <c r="V155" s="212">
        <f t="shared" si="22"/>
        <v>0</v>
      </c>
      <c r="W155" s="211">
        <f t="shared" si="23"/>
        <v>0</v>
      </c>
      <c r="X155" s="106">
        <f t="shared" si="25"/>
        <v>0.1</v>
      </c>
      <c r="Y155" s="163"/>
    </row>
    <row r="156" spans="1:25" s="250" customFormat="1" ht="12" customHeight="1">
      <c r="A156" s="51">
        <v>15</v>
      </c>
      <c r="B156" s="39" t="s">
        <v>194</v>
      </c>
      <c r="C156" s="52" t="s">
        <v>8</v>
      </c>
      <c r="D156" s="247"/>
      <c r="E156" s="249"/>
      <c r="F156" s="247">
        <v>3942.8</v>
      </c>
      <c r="G156" s="374">
        <v>424.89</v>
      </c>
      <c r="H156" s="247">
        <f>H153*0.342</f>
        <v>360.46</v>
      </c>
      <c r="I156" s="247">
        <f>I153*0.342</f>
        <v>424.89</v>
      </c>
      <c r="J156" s="374">
        <f>J153*0.342</f>
        <v>446.56</v>
      </c>
      <c r="K156" s="88">
        <f t="shared" si="18"/>
        <v>23.9</v>
      </c>
      <c r="L156" s="247"/>
      <c r="M156" s="88">
        <f t="shared" si="19"/>
        <v>-100</v>
      </c>
      <c r="N156" s="89">
        <f t="shared" si="24"/>
        <v>-446.56</v>
      </c>
      <c r="O156" s="87">
        <f>L156/($L$198+1E-103)*100</f>
        <v>0</v>
      </c>
      <c r="P156" s="247">
        <f>P153*0.342</f>
        <v>360.46</v>
      </c>
      <c r="Q156" s="207">
        <f t="shared" si="20"/>
        <v>0</v>
      </c>
      <c r="R156" s="434">
        <v>360.46</v>
      </c>
      <c r="S156" s="247">
        <f>S153*0.342</f>
        <v>416.93</v>
      </c>
      <c r="T156" s="434">
        <v>416.93</v>
      </c>
      <c r="U156" s="206">
        <f t="shared" si="21"/>
        <v>15.7</v>
      </c>
      <c r="V156" s="206">
        <f t="shared" si="22"/>
        <v>15.7</v>
      </c>
      <c r="W156" s="207">
        <f t="shared" si="23"/>
        <v>-29.6</v>
      </c>
      <c r="X156" s="87">
        <f t="shared" si="25"/>
        <v>3.7</v>
      </c>
      <c r="Y156" s="270"/>
    </row>
    <row r="157" spans="1:25" s="250" customFormat="1" ht="12" customHeight="1">
      <c r="A157" s="51">
        <v>16</v>
      </c>
      <c r="B157" s="39" t="s">
        <v>15</v>
      </c>
      <c r="C157" s="52" t="s">
        <v>8</v>
      </c>
      <c r="D157" s="247"/>
      <c r="E157" s="249"/>
      <c r="F157" s="247">
        <v>3086.5</v>
      </c>
      <c r="G157" s="374">
        <v>302</v>
      </c>
      <c r="H157" s="98">
        <f>I157</f>
        <v>302</v>
      </c>
      <c r="I157" s="98">
        <v>302</v>
      </c>
      <c r="J157" s="375">
        <f>G157</f>
        <v>302</v>
      </c>
      <c r="K157" s="88">
        <f t="shared" si="18"/>
        <v>0</v>
      </c>
      <c r="L157" s="247"/>
      <c r="M157" s="88">
        <f t="shared" si="19"/>
        <v>-100</v>
      </c>
      <c r="N157" s="89">
        <f t="shared" si="24"/>
        <v>-302</v>
      </c>
      <c r="O157" s="87">
        <f>L157/($L$198+1E-103)*100</f>
        <v>0</v>
      </c>
      <c r="P157" s="265">
        <f>H157</f>
        <v>302</v>
      </c>
      <c r="Q157" s="207">
        <f t="shared" si="20"/>
        <v>0</v>
      </c>
      <c r="R157" s="432">
        <v>302</v>
      </c>
      <c r="S157" s="265">
        <f>H157</f>
        <v>302</v>
      </c>
      <c r="T157" s="432">
        <v>302</v>
      </c>
      <c r="U157" s="206">
        <f t="shared" si="21"/>
        <v>0</v>
      </c>
      <c r="V157" s="206">
        <f t="shared" si="22"/>
        <v>0</v>
      </c>
      <c r="W157" s="207">
        <f t="shared" si="23"/>
        <v>0</v>
      </c>
      <c r="X157" s="87">
        <f t="shared" si="25"/>
        <v>2.7</v>
      </c>
      <c r="Y157" s="270"/>
    </row>
    <row r="158" spans="1:25" s="250" customFormat="1" ht="12" customHeight="1">
      <c r="A158" s="51">
        <v>17</v>
      </c>
      <c r="B158" s="39" t="s">
        <v>74</v>
      </c>
      <c r="C158" s="52" t="s">
        <v>8</v>
      </c>
      <c r="D158" s="273">
        <f>D161+D160+D159</f>
        <v>0</v>
      </c>
      <c r="E158" s="274">
        <f>E161+E160+E159</f>
        <v>0</v>
      </c>
      <c r="F158" s="273">
        <v>5574</v>
      </c>
      <c r="G158" s="390">
        <v>542.8</v>
      </c>
      <c r="H158" s="263">
        <f>H161+H160+H159</f>
        <v>542.8</v>
      </c>
      <c r="I158" s="263">
        <f>I161+I160+I159</f>
        <v>542.8</v>
      </c>
      <c r="J158" s="376">
        <f>J161+J160+J159</f>
        <v>574.94</v>
      </c>
      <c r="K158" s="88">
        <f t="shared" si="18"/>
        <v>5.9</v>
      </c>
      <c r="L158" s="204">
        <f>L161+L160+L159</f>
        <v>0</v>
      </c>
      <c r="M158" s="88">
        <f t="shared" si="19"/>
        <v>-100</v>
      </c>
      <c r="N158" s="89">
        <f t="shared" si="24"/>
        <v>-574.94</v>
      </c>
      <c r="O158" s="87">
        <f>L158/($L$198+1E-103)*100</f>
        <v>0</v>
      </c>
      <c r="P158" s="263">
        <f>P161+P160+P159</f>
        <v>542.8</v>
      </c>
      <c r="Q158" s="264">
        <f t="shared" si="20"/>
        <v>0</v>
      </c>
      <c r="R158" s="431">
        <f>R161+R160+R159</f>
        <v>542.8</v>
      </c>
      <c r="S158" s="263">
        <f>S161+S160+S159</f>
        <v>559.08</v>
      </c>
      <c r="T158" s="431">
        <f>T161+T160+T159</f>
        <v>559.08</v>
      </c>
      <c r="U158" s="206">
        <f t="shared" si="21"/>
        <v>3</v>
      </c>
      <c r="V158" s="206">
        <f t="shared" si="22"/>
        <v>3</v>
      </c>
      <c r="W158" s="207">
        <f t="shared" si="23"/>
        <v>-15.9</v>
      </c>
      <c r="X158" s="87">
        <f t="shared" si="25"/>
        <v>5</v>
      </c>
      <c r="Y158" s="275"/>
    </row>
    <row r="159" spans="1:25" ht="12" customHeight="1">
      <c r="A159" s="1" t="s">
        <v>62</v>
      </c>
      <c r="B159" s="40" t="s">
        <v>23</v>
      </c>
      <c r="C159" s="31" t="s">
        <v>8</v>
      </c>
      <c r="D159" s="213"/>
      <c r="E159" s="272"/>
      <c r="F159" s="295">
        <v>885.5</v>
      </c>
      <c r="G159" s="389">
        <v>131.7</v>
      </c>
      <c r="H159" s="98">
        <f>I159</f>
        <v>131.7</v>
      </c>
      <c r="I159" s="98">
        <v>131.7</v>
      </c>
      <c r="J159" s="369">
        <v>151.51</v>
      </c>
      <c r="K159" s="90">
        <f t="shared" si="18"/>
        <v>15</v>
      </c>
      <c r="L159" s="213"/>
      <c r="M159" s="90">
        <f t="shared" si="19"/>
        <v>-100</v>
      </c>
      <c r="N159" s="91">
        <f t="shared" si="24"/>
        <v>-151.51</v>
      </c>
      <c r="O159" s="106"/>
      <c r="P159" s="260">
        <f>H159</f>
        <v>131.7</v>
      </c>
      <c r="Q159" s="276">
        <f t="shared" si="20"/>
        <v>0</v>
      </c>
      <c r="R159" s="430">
        <v>131.7</v>
      </c>
      <c r="S159" s="277">
        <f>H159*1.03</f>
        <v>135.65</v>
      </c>
      <c r="T159" s="435">
        <v>135.65</v>
      </c>
      <c r="U159" s="212">
        <f t="shared" si="21"/>
        <v>3</v>
      </c>
      <c r="V159" s="212">
        <f t="shared" si="22"/>
        <v>3</v>
      </c>
      <c r="W159" s="211">
        <f t="shared" si="23"/>
        <v>-15.9</v>
      </c>
      <c r="X159" s="106">
        <f t="shared" si="25"/>
        <v>1.2</v>
      </c>
      <c r="Y159" s="160"/>
    </row>
    <row r="160" spans="1:25" ht="12" customHeight="1">
      <c r="A160" s="1" t="s">
        <v>62</v>
      </c>
      <c r="B160" s="40" t="s">
        <v>16</v>
      </c>
      <c r="C160" s="31" t="s">
        <v>8</v>
      </c>
      <c r="D160" s="213"/>
      <c r="E160" s="272"/>
      <c r="F160" s="295">
        <v>2208.6</v>
      </c>
      <c r="G160" s="389">
        <v>318.7</v>
      </c>
      <c r="H160" s="98">
        <f>I160</f>
        <v>318.7</v>
      </c>
      <c r="I160" s="98">
        <v>318.7</v>
      </c>
      <c r="J160" s="369">
        <f>S160</f>
        <v>328.26</v>
      </c>
      <c r="K160" s="90">
        <f t="shared" si="18"/>
        <v>3</v>
      </c>
      <c r="L160" s="213"/>
      <c r="M160" s="90"/>
      <c r="N160" s="91"/>
      <c r="O160" s="106"/>
      <c r="P160" s="260">
        <f>H160</f>
        <v>318.7</v>
      </c>
      <c r="Q160" s="276">
        <f t="shared" si="20"/>
        <v>0</v>
      </c>
      <c r="R160" s="430">
        <v>318.7</v>
      </c>
      <c r="S160" s="277">
        <f>H160*1.03</f>
        <v>328.26</v>
      </c>
      <c r="T160" s="435">
        <v>328.26</v>
      </c>
      <c r="U160" s="212">
        <f t="shared" si="21"/>
        <v>3</v>
      </c>
      <c r="V160" s="212">
        <f t="shared" si="22"/>
        <v>3</v>
      </c>
      <c r="W160" s="211">
        <f t="shared" si="23"/>
        <v>0</v>
      </c>
      <c r="X160" s="106">
        <f>S160/($S$198+1E-103)*100</f>
        <v>2.9</v>
      </c>
      <c r="Y160" s="160"/>
    </row>
    <row r="161" spans="1:26" ht="12" customHeight="1">
      <c r="A161" s="1" t="s">
        <v>62</v>
      </c>
      <c r="B161" s="40" t="s">
        <v>24</v>
      </c>
      <c r="C161" s="31" t="s">
        <v>8</v>
      </c>
      <c r="D161" s="213"/>
      <c r="E161" s="236"/>
      <c r="F161" s="213">
        <v>2479.9</v>
      </c>
      <c r="G161" s="252">
        <v>92.4</v>
      </c>
      <c r="H161" s="98">
        <f>I161</f>
        <v>92.4</v>
      </c>
      <c r="I161" s="98">
        <v>92.4</v>
      </c>
      <c r="J161" s="369">
        <f>S161</f>
        <v>95.17</v>
      </c>
      <c r="K161" s="90">
        <f t="shared" si="18"/>
        <v>3</v>
      </c>
      <c r="L161" s="213"/>
      <c r="M161" s="90"/>
      <c r="N161" s="91"/>
      <c r="O161" s="106"/>
      <c r="P161" s="260">
        <f>H161</f>
        <v>92.4</v>
      </c>
      <c r="Q161" s="276">
        <f t="shared" si="20"/>
        <v>0</v>
      </c>
      <c r="R161" s="430">
        <v>92.4</v>
      </c>
      <c r="S161" s="277">
        <f>H161*1.03</f>
        <v>95.17</v>
      </c>
      <c r="T161" s="435">
        <v>95.17</v>
      </c>
      <c r="U161" s="212">
        <f t="shared" si="21"/>
        <v>3</v>
      </c>
      <c r="V161" s="212">
        <f t="shared" si="22"/>
        <v>3</v>
      </c>
      <c r="W161" s="211">
        <f t="shared" si="23"/>
        <v>0</v>
      </c>
      <c r="X161" s="106">
        <f>S161/($S$198+1E-103)*100</f>
        <v>0.8</v>
      </c>
      <c r="Y161" s="160"/>
      <c r="Z161" s="12"/>
    </row>
    <row r="162" spans="1:26" s="250" customFormat="1" ht="12" customHeight="1">
      <c r="A162" s="51">
        <v>18</v>
      </c>
      <c r="B162" s="39" t="s">
        <v>117</v>
      </c>
      <c r="C162" s="52" t="s">
        <v>8</v>
      </c>
      <c r="D162" s="204">
        <f>D163+D166+D167</f>
        <v>0</v>
      </c>
      <c r="E162" s="248">
        <f>E163+E166+E167</f>
        <v>0</v>
      </c>
      <c r="F162" s="204">
        <v>5440.35</v>
      </c>
      <c r="G162" s="255">
        <v>676.37</v>
      </c>
      <c r="H162" s="278">
        <f>H163+H166+H167</f>
        <v>519.1</v>
      </c>
      <c r="I162" s="105">
        <f>I163+I166</f>
        <v>676.37</v>
      </c>
      <c r="J162" s="371">
        <f>J163+J166+J167</f>
        <v>669.4</v>
      </c>
      <c r="K162" s="88">
        <f t="shared" si="18"/>
        <v>29</v>
      </c>
      <c r="L162" s="204">
        <f>L163+L166+L167</f>
        <v>0</v>
      </c>
      <c r="M162" s="88">
        <f>L162/(H162+1E-106)*100-100</f>
        <v>-100</v>
      </c>
      <c r="N162" s="89">
        <f t="shared" si="24"/>
        <v>-669.4</v>
      </c>
      <c r="O162" s="87">
        <f>L162/($L$198+1E-103)*100</f>
        <v>0</v>
      </c>
      <c r="P162" s="278">
        <f>P163+P166+P167</f>
        <v>519.1</v>
      </c>
      <c r="Q162" s="207">
        <f t="shared" si="20"/>
        <v>0</v>
      </c>
      <c r="R162" s="436">
        <f>R163+R166+R167</f>
        <v>519.1</v>
      </c>
      <c r="S162" s="278">
        <f>S163+S166+S167</f>
        <v>544.9</v>
      </c>
      <c r="T162" s="436">
        <f>T163+T166+T167</f>
        <v>544.9</v>
      </c>
      <c r="U162" s="206">
        <f t="shared" si="21"/>
        <v>5</v>
      </c>
      <c r="V162" s="206">
        <f t="shared" si="22"/>
        <v>5</v>
      </c>
      <c r="W162" s="207">
        <f t="shared" si="23"/>
        <v>-124.5</v>
      </c>
      <c r="X162" s="87">
        <f t="shared" si="25"/>
        <v>4.9</v>
      </c>
      <c r="Y162" s="270"/>
      <c r="Z162" s="279"/>
    </row>
    <row r="163" spans="1:26" ht="12" customHeight="1">
      <c r="A163" s="1" t="s">
        <v>62</v>
      </c>
      <c r="B163" s="40" t="s">
        <v>118</v>
      </c>
      <c r="C163" s="31" t="s">
        <v>8</v>
      </c>
      <c r="D163" s="213"/>
      <c r="E163" s="236"/>
      <c r="F163" s="213">
        <v>4059.96</v>
      </c>
      <c r="G163" s="252">
        <v>504</v>
      </c>
      <c r="H163" s="98">
        <f>10*3*12</f>
        <v>360</v>
      </c>
      <c r="I163" s="98">
        <v>504</v>
      </c>
      <c r="J163" s="365">
        <v>504</v>
      </c>
      <c r="K163" s="90">
        <f t="shared" si="18"/>
        <v>40</v>
      </c>
      <c r="L163" s="213"/>
      <c r="M163" s="90">
        <f>L163/(H163+1E-106)*100-100</f>
        <v>-100</v>
      </c>
      <c r="N163" s="91">
        <f t="shared" si="24"/>
        <v>-504</v>
      </c>
      <c r="O163" s="106"/>
      <c r="P163" s="234">
        <f>H163</f>
        <v>360</v>
      </c>
      <c r="Q163" s="211">
        <f t="shared" si="20"/>
        <v>0</v>
      </c>
      <c r="R163" s="425">
        <v>360</v>
      </c>
      <c r="S163" s="278">
        <f>P163*1.051</f>
        <v>378.4</v>
      </c>
      <c r="T163" s="436">
        <v>378.4</v>
      </c>
      <c r="U163" s="212">
        <f t="shared" si="21"/>
        <v>5.1</v>
      </c>
      <c r="V163" s="212">
        <f t="shared" si="22"/>
        <v>5.1</v>
      </c>
      <c r="W163" s="211">
        <f t="shared" si="23"/>
        <v>-125.6</v>
      </c>
      <c r="X163" s="106">
        <f t="shared" si="25"/>
        <v>3.4</v>
      </c>
      <c r="Y163" s="163"/>
      <c r="Z163" s="12"/>
    </row>
    <row r="164" spans="1:26" ht="12" customHeight="1">
      <c r="A164" s="1"/>
      <c r="B164" s="40" t="s">
        <v>169</v>
      </c>
      <c r="C164" s="44" t="s">
        <v>14</v>
      </c>
      <c r="D164" s="214">
        <f>D163/12/(D165+1E-100)*1000</f>
        <v>0</v>
      </c>
      <c r="E164" s="252">
        <f>E163/12/(E165+1E-100)*1000</f>
        <v>0</v>
      </c>
      <c r="F164" s="213">
        <v>2524.85</v>
      </c>
      <c r="G164" s="252">
        <v>14000</v>
      </c>
      <c r="H164" s="234">
        <f>H163/12/(H165+1E-100)*1000</f>
        <v>10000</v>
      </c>
      <c r="I164" s="234">
        <v>14000</v>
      </c>
      <c r="J164" s="365">
        <f>J163/J165/12*1000</f>
        <v>14000</v>
      </c>
      <c r="K164" s="90">
        <f t="shared" si="18"/>
        <v>40</v>
      </c>
      <c r="L164" s="213"/>
      <c r="M164" s="90">
        <f>L164/(H164+1E-106)*100-100</f>
        <v>-100</v>
      </c>
      <c r="N164" s="91"/>
      <c r="O164" s="106"/>
      <c r="P164" s="234">
        <f>H164</f>
        <v>10000</v>
      </c>
      <c r="Q164" s="211">
        <f t="shared" si="20"/>
        <v>0</v>
      </c>
      <c r="R164" s="425">
        <v>10000</v>
      </c>
      <c r="S164" s="234">
        <f>S163/12/(S165+1E-100)*1000</f>
        <v>10511.1</v>
      </c>
      <c r="T164" s="424">
        <v>10511.1</v>
      </c>
      <c r="U164" s="212">
        <f aca="true" t="shared" si="26" ref="U164:U187">S164/(P164+1E-106)*100-100</f>
        <v>5.1</v>
      </c>
      <c r="V164" s="212">
        <f aca="true" t="shared" si="27" ref="V164:V187">S164/(H164+1E-106)*100-100</f>
        <v>5.1</v>
      </c>
      <c r="W164" s="211">
        <f aca="true" t="shared" si="28" ref="W164:W187">S164-J164</f>
        <v>-3488.9</v>
      </c>
      <c r="X164" s="106"/>
      <c r="Y164" s="163"/>
      <c r="Z164" s="12"/>
    </row>
    <row r="165" spans="1:26" ht="12" customHeight="1">
      <c r="A165" s="1"/>
      <c r="B165" s="40" t="s">
        <v>35</v>
      </c>
      <c r="C165" s="44" t="s">
        <v>42</v>
      </c>
      <c r="D165" s="214"/>
      <c r="E165" s="236"/>
      <c r="F165" s="213">
        <v>134</v>
      </c>
      <c r="G165" s="252">
        <v>3</v>
      </c>
      <c r="H165" s="98">
        <v>3</v>
      </c>
      <c r="I165" s="98">
        <v>3</v>
      </c>
      <c r="J165" s="365">
        <f>S165</f>
        <v>3</v>
      </c>
      <c r="K165" s="90">
        <f t="shared" si="18"/>
        <v>0</v>
      </c>
      <c r="L165" s="213"/>
      <c r="M165" s="90">
        <f>L165/(H165+1E-106)*100-100</f>
        <v>-100</v>
      </c>
      <c r="N165" s="91"/>
      <c r="O165" s="106"/>
      <c r="P165" s="234">
        <f>H165</f>
        <v>3</v>
      </c>
      <c r="Q165" s="211">
        <f t="shared" si="20"/>
        <v>0</v>
      </c>
      <c r="R165" s="436">
        <v>3</v>
      </c>
      <c r="S165" s="234">
        <f>H165</f>
        <v>3</v>
      </c>
      <c r="T165" s="424">
        <v>3</v>
      </c>
      <c r="U165" s="212">
        <f t="shared" si="26"/>
        <v>0</v>
      </c>
      <c r="V165" s="212">
        <f t="shared" si="27"/>
        <v>0</v>
      </c>
      <c r="W165" s="211">
        <f t="shared" si="28"/>
        <v>0</v>
      </c>
      <c r="X165" s="106">
        <f t="shared" si="25"/>
        <v>0</v>
      </c>
      <c r="Y165" s="163"/>
      <c r="Z165" s="12"/>
    </row>
    <row r="166" spans="1:26" ht="12" customHeight="1">
      <c r="A166" s="1" t="s">
        <v>62</v>
      </c>
      <c r="B166" s="40" t="s">
        <v>194</v>
      </c>
      <c r="C166" s="31" t="s">
        <v>8</v>
      </c>
      <c r="D166" s="213"/>
      <c r="E166" s="236"/>
      <c r="F166" s="213">
        <v>1380.39</v>
      </c>
      <c r="G166" s="252">
        <v>172.37</v>
      </c>
      <c r="H166" s="247">
        <f>H163*0.342</f>
        <v>123.12</v>
      </c>
      <c r="I166" s="247">
        <f>I163*0.342</f>
        <v>172.37</v>
      </c>
      <c r="J166" s="365">
        <f>S166</f>
        <v>129.41</v>
      </c>
      <c r="K166" s="90">
        <f t="shared" si="18"/>
        <v>5.1</v>
      </c>
      <c r="L166" s="213"/>
      <c r="M166" s="90">
        <f>L166/(H166+1E-106)*100-100</f>
        <v>-100</v>
      </c>
      <c r="N166" s="91">
        <f t="shared" si="24"/>
        <v>-129.41</v>
      </c>
      <c r="O166" s="106"/>
      <c r="P166" s="247">
        <f>H166</f>
        <v>123.12</v>
      </c>
      <c r="Q166" s="211">
        <f t="shared" si="20"/>
        <v>0</v>
      </c>
      <c r="R166" s="434">
        <v>123.12</v>
      </c>
      <c r="S166" s="247">
        <f>S163*0.342</f>
        <v>129.41</v>
      </c>
      <c r="T166" s="434">
        <v>129.41</v>
      </c>
      <c r="U166" s="212">
        <f t="shared" si="26"/>
        <v>5.1</v>
      </c>
      <c r="V166" s="212">
        <f t="shared" si="27"/>
        <v>5.1</v>
      </c>
      <c r="W166" s="211">
        <f t="shared" si="28"/>
        <v>0</v>
      </c>
      <c r="X166" s="106">
        <f t="shared" si="25"/>
        <v>1.2</v>
      </c>
      <c r="Y166" s="163"/>
      <c r="Z166" s="12"/>
    </row>
    <row r="167" spans="1:26" ht="12" customHeight="1">
      <c r="A167" s="1" t="s">
        <v>62</v>
      </c>
      <c r="B167" s="40" t="s">
        <v>68</v>
      </c>
      <c r="C167" s="31" t="s">
        <v>8</v>
      </c>
      <c r="D167" s="214"/>
      <c r="E167" s="236"/>
      <c r="F167" s="213">
        <v>0</v>
      </c>
      <c r="G167" s="252">
        <v>36</v>
      </c>
      <c r="H167" s="98">
        <f>I167</f>
        <v>36</v>
      </c>
      <c r="I167" s="105">
        <v>36</v>
      </c>
      <c r="J167" s="365">
        <v>36</v>
      </c>
      <c r="K167" s="90">
        <f t="shared" si="18"/>
        <v>0</v>
      </c>
      <c r="L167" s="213"/>
      <c r="M167" s="90"/>
      <c r="N167" s="91"/>
      <c r="O167" s="106"/>
      <c r="P167" s="234">
        <f>H167</f>
        <v>36</v>
      </c>
      <c r="Q167" s="211">
        <f t="shared" si="20"/>
        <v>0</v>
      </c>
      <c r="R167" s="425">
        <v>36</v>
      </c>
      <c r="S167" s="234">
        <f>P167*1.03</f>
        <v>37.1</v>
      </c>
      <c r="T167" s="424">
        <v>37.1</v>
      </c>
      <c r="U167" s="212">
        <f t="shared" si="26"/>
        <v>3.1</v>
      </c>
      <c r="V167" s="212">
        <f t="shared" si="27"/>
        <v>3.1</v>
      </c>
      <c r="W167" s="211">
        <f t="shared" si="28"/>
        <v>1.1</v>
      </c>
      <c r="X167" s="106">
        <f>S167/($S$198+1E-103)*100</f>
        <v>0.3</v>
      </c>
      <c r="Y167" s="163"/>
      <c r="Z167" s="12"/>
    </row>
    <row r="168" spans="1:26" s="250" customFormat="1" ht="12" customHeight="1">
      <c r="A168" s="51">
        <v>19</v>
      </c>
      <c r="B168" s="39" t="s">
        <v>119</v>
      </c>
      <c r="C168" s="52" t="s">
        <v>8</v>
      </c>
      <c r="D168" s="204">
        <f>D169+D172+D173</f>
        <v>0</v>
      </c>
      <c r="E168" s="248">
        <f>E169+E172+E173</f>
        <v>0</v>
      </c>
      <c r="F168" s="204">
        <v>49.59</v>
      </c>
      <c r="G168" s="255">
        <v>5.81</v>
      </c>
      <c r="H168" s="105">
        <f>H173</f>
        <v>5.81</v>
      </c>
      <c r="I168" s="105">
        <v>5.81</v>
      </c>
      <c r="J168" s="371">
        <f>J169+J172+J173</f>
        <v>6</v>
      </c>
      <c r="K168" s="88">
        <f aca="true" t="shared" si="29" ref="K168:K176">J168/(H168+1E-133)*100-100</f>
        <v>3.3</v>
      </c>
      <c r="L168" s="204">
        <f>L169+L172+L173</f>
        <v>0</v>
      </c>
      <c r="M168" s="88">
        <f aca="true" t="shared" si="30" ref="M168:M174">L168/(H168+1E-106)*100-100</f>
        <v>-100</v>
      </c>
      <c r="N168" s="89">
        <f t="shared" si="24"/>
        <v>-6</v>
      </c>
      <c r="O168" s="87">
        <f>L168/($L$198+1E-103)*100</f>
        <v>0</v>
      </c>
      <c r="P168" s="282">
        <f>P173</f>
        <v>5.81</v>
      </c>
      <c r="Q168" s="207">
        <f aca="true" t="shared" si="31" ref="Q168:Q176">P168/(H168+1E-106)*100-100</f>
        <v>0</v>
      </c>
      <c r="R168" s="432">
        <v>5.8</v>
      </c>
      <c r="S168" s="278">
        <f>S173</f>
        <v>6</v>
      </c>
      <c r="T168" s="436">
        <v>6</v>
      </c>
      <c r="U168" s="206">
        <f t="shared" si="26"/>
        <v>3.3</v>
      </c>
      <c r="V168" s="206">
        <f t="shared" si="27"/>
        <v>3.3</v>
      </c>
      <c r="W168" s="207">
        <f t="shared" si="28"/>
        <v>0</v>
      </c>
      <c r="X168" s="87">
        <f t="shared" si="25"/>
        <v>0.1</v>
      </c>
      <c r="Y168" s="270"/>
      <c r="Z168" s="280"/>
    </row>
    <row r="169" spans="1:26" ht="12" customHeight="1" hidden="1">
      <c r="A169" s="1" t="s">
        <v>62</v>
      </c>
      <c r="B169" s="40" t="s">
        <v>118</v>
      </c>
      <c r="C169" s="31" t="s">
        <v>8</v>
      </c>
      <c r="D169" s="213"/>
      <c r="E169" s="236"/>
      <c r="F169" s="213"/>
      <c r="G169" s="252"/>
      <c r="H169" s="98"/>
      <c r="I169" s="98"/>
      <c r="J169" s="369"/>
      <c r="K169" s="90">
        <f t="shared" si="29"/>
        <v>-100</v>
      </c>
      <c r="L169" s="213"/>
      <c r="M169" s="90">
        <f t="shared" si="30"/>
        <v>-100</v>
      </c>
      <c r="N169" s="91">
        <f t="shared" si="24"/>
        <v>0</v>
      </c>
      <c r="O169" s="106"/>
      <c r="P169" s="277">
        <f>H169</f>
        <v>0</v>
      </c>
      <c r="Q169" s="211">
        <f t="shared" si="31"/>
        <v>-100</v>
      </c>
      <c r="R169" s="425"/>
      <c r="S169" s="265">
        <f>H169*1.51</f>
        <v>0</v>
      </c>
      <c r="T169" s="432"/>
      <c r="U169" s="212">
        <f t="shared" si="26"/>
        <v>-100</v>
      </c>
      <c r="V169" s="212">
        <f t="shared" si="27"/>
        <v>-100</v>
      </c>
      <c r="W169" s="211">
        <f t="shared" si="28"/>
        <v>0</v>
      </c>
      <c r="X169" s="106">
        <f t="shared" si="25"/>
        <v>0</v>
      </c>
      <c r="Y169" s="163"/>
      <c r="Z169" s="5"/>
    </row>
    <row r="170" spans="1:26" ht="12" customHeight="1" hidden="1">
      <c r="A170" s="1"/>
      <c r="B170" s="40" t="s">
        <v>169</v>
      </c>
      <c r="C170" s="44" t="s">
        <v>14</v>
      </c>
      <c r="D170" s="213">
        <f>D169/12/(D171+1E-100)*1000</f>
        <v>0</v>
      </c>
      <c r="E170" s="252">
        <f>E169/12/(E171+1E-100)*1000</f>
        <v>0</v>
      </c>
      <c r="F170" s="213">
        <v>0</v>
      </c>
      <c r="G170" s="252"/>
      <c r="H170" s="98">
        <v>0</v>
      </c>
      <c r="I170" s="98"/>
      <c r="J170" s="365"/>
      <c r="K170" s="90">
        <f t="shared" si="29"/>
        <v>-100</v>
      </c>
      <c r="L170" s="213"/>
      <c r="M170" s="90">
        <f t="shared" si="30"/>
        <v>-100</v>
      </c>
      <c r="N170" s="91"/>
      <c r="O170" s="106"/>
      <c r="P170" s="234">
        <f>P169/12/(P171+1E-100)*1000</f>
        <v>0</v>
      </c>
      <c r="Q170" s="211">
        <f t="shared" si="31"/>
        <v>-100</v>
      </c>
      <c r="R170" s="425"/>
      <c r="S170" s="235">
        <f>S169/12/(S171+1E-100)*1000</f>
        <v>0</v>
      </c>
      <c r="T170" s="425"/>
      <c r="U170" s="212">
        <f t="shared" si="26"/>
        <v>-100</v>
      </c>
      <c r="V170" s="212">
        <f t="shared" si="27"/>
        <v>-100</v>
      </c>
      <c r="W170" s="211">
        <f t="shared" si="28"/>
        <v>0</v>
      </c>
      <c r="X170" s="106"/>
      <c r="Y170" s="163"/>
      <c r="Z170" s="5"/>
    </row>
    <row r="171" spans="1:26" ht="12" customHeight="1" hidden="1">
      <c r="A171" s="1"/>
      <c r="B171" s="40" t="s">
        <v>35</v>
      </c>
      <c r="C171" s="44" t="s">
        <v>42</v>
      </c>
      <c r="D171" s="281"/>
      <c r="E171" s="236"/>
      <c r="F171" s="213"/>
      <c r="G171" s="252"/>
      <c r="H171" s="98"/>
      <c r="I171" s="98"/>
      <c r="J171" s="365"/>
      <c r="K171" s="90">
        <f t="shared" si="29"/>
        <v>-100</v>
      </c>
      <c r="L171" s="213"/>
      <c r="M171" s="90">
        <f t="shared" si="30"/>
        <v>-100</v>
      </c>
      <c r="N171" s="91"/>
      <c r="O171" s="106"/>
      <c r="P171" s="277">
        <f>H171</f>
        <v>0</v>
      </c>
      <c r="Q171" s="211">
        <f t="shared" si="31"/>
        <v>-100</v>
      </c>
      <c r="R171" s="425"/>
      <c r="S171" s="235">
        <f>H171</f>
        <v>0</v>
      </c>
      <c r="T171" s="425"/>
      <c r="U171" s="212">
        <f t="shared" si="26"/>
        <v>-100</v>
      </c>
      <c r="V171" s="212">
        <f t="shared" si="27"/>
        <v>-100</v>
      </c>
      <c r="W171" s="211">
        <f t="shared" si="28"/>
        <v>0</v>
      </c>
      <c r="X171" s="106">
        <f t="shared" si="25"/>
        <v>0</v>
      </c>
      <c r="Y171" s="163"/>
      <c r="Z171" s="5"/>
    </row>
    <row r="172" spans="1:26" ht="12" customHeight="1" hidden="1">
      <c r="A172" s="1" t="s">
        <v>62</v>
      </c>
      <c r="B172" s="40" t="s">
        <v>194</v>
      </c>
      <c r="C172" s="31" t="s">
        <v>8</v>
      </c>
      <c r="D172" s="213"/>
      <c r="E172" s="236"/>
      <c r="F172" s="213"/>
      <c r="G172" s="252"/>
      <c r="H172" s="98"/>
      <c r="I172" s="98"/>
      <c r="J172" s="252"/>
      <c r="K172" s="90">
        <f t="shared" si="29"/>
        <v>-100</v>
      </c>
      <c r="L172" s="213"/>
      <c r="M172" s="90">
        <f t="shared" si="30"/>
        <v>-100</v>
      </c>
      <c r="N172" s="91">
        <f t="shared" si="24"/>
        <v>0</v>
      </c>
      <c r="O172" s="106"/>
      <c r="P172" s="247">
        <f>P169*0.342</f>
        <v>0</v>
      </c>
      <c r="Q172" s="211">
        <f t="shared" si="31"/>
        <v>-100</v>
      </c>
      <c r="R172" s="425"/>
      <c r="S172" s="247">
        <f>S169*0.342</f>
        <v>0</v>
      </c>
      <c r="T172" s="434"/>
      <c r="U172" s="212">
        <f t="shared" si="26"/>
        <v>-100</v>
      </c>
      <c r="V172" s="212">
        <f t="shared" si="27"/>
        <v>-100</v>
      </c>
      <c r="W172" s="211">
        <f t="shared" si="28"/>
        <v>0</v>
      </c>
      <c r="X172" s="106">
        <f t="shared" si="25"/>
        <v>0</v>
      </c>
      <c r="Y172" s="163"/>
      <c r="Z172" s="5"/>
    </row>
    <row r="173" spans="1:26" ht="12" customHeight="1">
      <c r="A173" s="1" t="s">
        <v>62</v>
      </c>
      <c r="B173" s="40" t="s">
        <v>68</v>
      </c>
      <c r="C173" s="31" t="s">
        <v>8</v>
      </c>
      <c r="D173" s="213"/>
      <c r="E173" s="236"/>
      <c r="F173" s="213">
        <v>49.59</v>
      </c>
      <c r="G173" s="252">
        <v>5.81</v>
      </c>
      <c r="H173" s="98">
        <f>I173</f>
        <v>5.81</v>
      </c>
      <c r="I173" s="98">
        <v>5.81</v>
      </c>
      <c r="J173" s="365">
        <f>S173</f>
        <v>6</v>
      </c>
      <c r="K173" s="90">
        <f t="shared" si="29"/>
        <v>3.3</v>
      </c>
      <c r="L173" s="213"/>
      <c r="M173" s="90">
        <f t="shared" si="30"/>
        <v>-100</v>
      </c>
      <c r="N173" s="91">
        <f t="shared" si="24"/>
        <v>-6</v>
      </c>
      <c r="O173" s="106"/>
      <c r="P173" s="277">
        <f>H173</f>
        <v>5.81</v>
      </c>
      <c r="Q173" s="211">
        <f t="shared" si="31"/>
        <v>0</v>
      </c>
      <c r="R173" s="425">
        <v>5.8</v>
      </c>
      <c r="S173" s="234">
        <f>H173*1.03</f>
        <v>6</v>
      </c>
      <c r="T173" s="424">
        <v>6</v>
      </c>
      <c r="U173" s="212">
        <f t="shared" si="26"/>
        <v>3.3</v>
      </c>
      <c r="V173" s="212">
        <f t="shared" si="27"/>
        <v>3.3</v>
      </c>
      <c r="W173" s="211">
        <f t="shared" si="28"/>
        <v>0</v>
      </c>
      <c r="X173" s="106">
        <f t="shared" si="25"/>
        <v>0.1</v>
      </c>
      <c r="Y173" s="163"/>
      <c r="Z173" s="5"/>
    </row>
    <row r="174" spans="1:26" s="250" customFormat="1" ht="12" customHeight="1">
      <c r="A174" s="51">
        <v>20</v>
      </c>
      <c r="B174" s="39" t="s">
        <v>66</v>
      </c>
      <c r="C174" s="52" t="s">
        <v>8</v>
      </c>
      <c r="D174" s="204">
        <f>D175+D176+D177+D178</f>
        <v>0</v>
      </c>
      <c r="E174" s="248">
        <f>E175+E176+E177+E178</f>
        <v>0</v>
      </c>
      <c r="F174" s="204">
        <v>663.75</v>
      </c>
      <c r="G174" s="255">
        <v>61.16</v>
      </c>
      <c r="H174" s="282">
        <f>H175+H176+H177+H178</f>
        <v>61.16</v>
      </c>
      <c r="I174" s="282">
        <f>I175+I176+I177+I178</f>
        <v>61.16</v>
      </c>
      <c r="J174" s="376">
        <f>J175+J176+J177+J178</f>
        <v>63</v>
      </c>
      <c r="K174" s="88">
        <f t="shared" si="29"/>
        <v>3</v>
      </c>
      <c r="L174" s="204">
        <f>L175+L176+L177+L178</f>
        <v>0</v>
      </c>
      <c r="M174" s="88">
        <f t="shared" si="30"/>
        <v>-100</v>
      </c>
      <c r="N174" s="89">
        <f t="shared" si="24"/>
        <v>-63</v>
      </c>
      <c r="O174" s="87">
        <f>L174/($L$198+1E-103)*100</f>
        <v>0</v>
      </c>
      <c r="P174" s="282">
        <f>P175+P176+P177+P178</f>
        <v>61.16</v>
      </c>
      <c r="Q174" s="207">
        <f t="shared" si="31"/>
        <v>0</v>
      </c>
      <c r="R174" s="432">
        <v>61.2</v>
      </c>
      <c r="S174" s="278">
        <f>S175+S176+S177+S178</f>
        <v>63</v>
      </c>
      <c r="T174" s="436">
        <v>63</v>
      </c>
      <c r="U174" s="206">
        <f t="shared" si="26"/>
        <v>3</v>
      </c>
      <c r="V174" s="206">
        <f t="shared" si="27"/>
        <v>3</v>
      </c>
      <c r="W174" s="207">
        <f t="shared" si="28"/>
        <v>0</v>
      </c>
      <c r="X174" s="87">
        <f t="shared" si="25"/>
        <v>0.6</v>
      </c>
      <c r="Y174" s="275"/>
      <c r="Z174" s="279"/>
    </row>
    <row r="175" spans="1:26" ht="12.75">
      <c r="A175" s="1" t="s">
        <v>62</v>
      </c>
      <c r="B175" s="40" t="s">
        <v>55</v>
      </c>
      <c r="C175" s="31" t="s">
        <v>8</v>
      </c>
      <c r="D175" s="213"/>
      <c r="E175" s="236"/>
      <c r="F175" s="213">
        <v>49.23</v>
      </c>
      <c r="G175" s="252">
        <v>4.5</v>
      </c>
      <c r="H175" s="98">
        <v>4.5</v>
      </c>
      <c r="I175" s="98">
        <v>4.5</v>
      </c>
      <c r="J175" s="365">
        <f>S175</f>
        <v>4.6</v>
      </c>
      <c r="K175" s="90">
        <f t="shared" si="29"/>
        <v>2.2</v>
      </c>
      <c r="L175" s="213"/>
      <c r="M175" s="90"/>
      <c r="N175" s="91"/>
      <c r="O175" s="106"/>
      <c r="P175" s="277">
        <f>H175</f>
        <v>4.5</v>
      </c>
      <c r="Q175" s="211">
        <f t="shared" si="31"/>
        <v>0</v>
      </c>
      <c r="R175" s="425">
        <v>4.5</v>
      </c>
      <c r="S175" s="234">
        <f>H175*1.03</f>
        <v>4.6</v>
      </c>
      <c r="T175" s="424">
        <v>4.6</v>
      </c>
      <c r="U175" s="212">
        <f t="shared" si="26"/>
        <v>2.2</v>
      </c>
      <c r="V175" s="212">
        <f t="shared" si="27"/>
        <v>2.2</v>
      </c>
      <c r="W175" s="211">
        <f t="shared" si="28"/>
        <v>0</v>
      </c>
      <c r="X175" s="106">
        <f>S175/($S$198+1E-103)*100</f>
        <v>0</v>
      </c>
      <c r="Y175" s="160"/>
      <c r="Z175" s="12"/>
    </row>
    <row r="176" spans="1:26" ht="12.75">
      <c r="A176" s="1" t="s">
        <v>62</v>
      </c>
      <c r="B176" s="40" t="s">
        <v>56</v>
      </c>
      <c r="C176" s="31" t="s">
        <v>8</v>
      </c>
      <c r="D176" s="213"/>
      <c r="E176" s="236"/>
      <c r="F176" s="213">
        <v>92.74</v>
      </c>
      <c r="G176" s="252">
        <v>9.49</v>
      </c>
      <c r="H176" s="98">
        <f>I176</f>
        <v>9.49</v>
      </c>
      <c r="I176" s="98">
        <v>9.49</v>
      </c>
      <c r="J176" s="365">
        <f>S176</f>
        <v>9.8</v>
      </c>
      <c r="K176" s="90">
        <f t="shared" si="29"/>
        <v>3.3</v>
      </c>
      <c r="L176" s="213"/>
      <c r="M176" s="90"/>
      <c r="N176" s="91"/>
      <c r="O176" s="106"/>
      <c r="P176" s="277">
        <f>H176</f>
        <v>9.49</v>
      </c>
      <c r="Q176" s="211">
        <f t="shared" si="31"/>
        <v>0</v>
      </c>
      <c r="R176" s="425">
        <v>9.5</v>
      </c>
      <c r="S176" s="234">
        <f>H176*1.03</f>
        <v>9.8</v>
      </c>
      <c r="T176" s="424">
        <v>9.8</v>
      </c>
      <c r="U176" s="212">
        <f t="shared" si="26"/>
        <v>3.3</v>
      </c>
      <c r="V176" s="212">
        <f t="shared" si="27"/>
        <v>3.3</v>
      </c>
      <c r="W176" s="211">
        <f t="shared" si="28"/>
        <v>0</v>
      </c>
      <c r="X176" s="106">
        <f>S176/($S$198+1E-103)*100</f>
        <v>0.1</v>
      </c>
      <c r="Y176" s="161"/>
      <c r="Z176" s="12"/>
    </row>
    <row r="177" spans="1:26" ht="12.75">
      <c r="A177" s="1" t="s">
        <v>62</v>
      </c>
      <c r="B177" s="40" t="s">
        <v>67</v>
      </c>
      <c r="C177" s="31" t="s">
        <v>8</v>
      </c>
      <c r="D177" s="213"/>
      <c r="E177" s="236"/>
      <c r="F177" s="213">
        <v>481.62</v>
      </c>
      <c r="G177" s="252">
        <v>18.07</v>
      </c>
      <c r="H177" s="98">
        <f>I177</f>
        <v>18.07</v>
      </c>
      <c r="I177" s="98">
        <v>18.07</v>
      </c>
      <c r="J177" s="365">
        <f>S177</f>
        <v>18.6</v>
      </c>
      <c r="K177" s="90">
        <f>J177/(H177+1E-133)*100-100</f>
        <v>2.9</v>
      </c>
      <c r="L177" s="213"/>
      <c r="M177" s="90">
        <f>L177/(H177+1E-106)*100-100</f>
        <v>-100</v>
      </c>
      <c r="N177" s="91">
        <f t="shared" si="24"/>
        <v>-18.6</v>
      </c>
      <c r="O177" s="106"/>
      <c r="P177" s="277">
        <f>H177</f>
        <v>18.07</v>
      </c>
      <c r="Q177" s="211">
        <f>P177/(H177+1E-106)*100-100</f>
        <v>0</v>
      </c>
      <c r="R177" s="425">
        <v>18.1</v>
      </c>
      <c r="S177" s="234">
        <f>H177*1.03</f>
        <v>18.6</v>
      </c>
      <c r="T177" s="424">
        <v>18.6</v>
      </c>
      <c r="U177" s="212">
        <f t="shared" si="26"/>
        <v>2.9</v>
      </c>
      <c r="V177" s="212">
        <f t="shared" si="27"/>
        <v>2.9</v>
      </c>
      <c r="W177" s="211">
        <f t="shared" si="28"/>
        <v>0</v>
      </c>
      <c r="X177" s="106">
        <f t="shared" si="25"/>
        <v>0.2</v>
      </c>
      <c r="Y177" s="161"/>
      <c r="Z177" s="12"/>
    </row>
    <row r="178" spans="1:26" ht="12.75">
      <c r="A178" s="1" t="s">
        <v>62</v>
      </c>
      <c r="B178" s="40" t="s">
        <v>68</v>
      </c>
      <c r="C178" s="31" t="s">
        <v>8</v>
      </c>
      <c r="D178" s="213"/>
      <c r="E178" s="236"/>
      <c r="F178" s="213">
        <v>40.17</v>
      </c>
      <c r="G178" s="252">
        <v>29.1</v>
      </c>
      <c r="H178" s="98">
        <f>I178</f>
        <v>29.1</v>
      </c>
      <c r="I178" s="98">
        <v>29.1</v>
      </c>
      <c r="J178" s="365">
        <f>S178</f>
        <v>30</v>
      </c>
      <c r="K178" s="90">
        <f>J178/(H178+1E-133)*100-100</f>
        <v>3.1</v>
      </c>
      <c r="L178" s="213"/>
      <c r="M178" s="90">
        <f>L178/(H178+1E-106)*100-100</f>
        <v>-100</v>
      </c>
      <c r="N178" s="91">
        <f t="shared" si="24"/>
        <v>-30</v>
      </c>
      <c r="O178" s="106"/>
      <c r="P178" s="234">
        <f>H178</f>
        <v>29.1</v>
      </c>
      <c r="Q178" s="211">
        <f>P178/(H178+1E-106)*100-100</f>
        <v>0</v>
      </c>
      <c r="R178" s="425">
        <v>29.1</v>
      </c>
      <c r="S178" s="234">
        <f>H178*1.03</f>
        <v>30</v>
      </c>
      <c r="T178" s="424">
        <v>30</v>
      </c>
      <c r="U178" s="212">
        <f t="shared" si="26"/>
        <v>3.1</v>
      </c>
      <c r="V178" s="212">
        <f t="shared" si="27"/>
        <v>3.1</v>
      </c>
      <c r="W178" s="211">
        <f t="shared" si="28"/>
        <v>0</v>
      </c>
      <c r="X178" s="106">
        <f t="shared" si="25"/>
        <v>0.3</v>
      </c>
      <c r="Y178" s="161"/>
      <c r="Z178" s="12"/>
    </row>
    <row r="179" spans="1:26" s="250" customFormat="1" ht="12.75">
      <c r="A179" s="51">
        <v>21</v>
      </c>
      <c r="B179" s="39" t="s">
        <v>52</v>
      </c>
      <c r="C179" s="52" t="s">
        <v>8</v>
      </c>
      <c r="D179" s="202">
        <f>D180+D181+D182</f>
        <v>0</v>
      </c>
      <c r="E179" s="248">
        <f>E180+E181+E182</f>
        <v>0</v>
      </c>
      <c r="F179" s="204">
        <v>934.87</v>
      </c>
      <c r="G179" s="255">
        <v>284.76</v>
      </c>
      <c r="H179" s="113">
        <f>H180+H181+H182</f>
        <v>199.56</v>
      </c>
      <c r="I179" s="105">
        <f>I180+I181+I182</f>
        <v>284.76</v>
      </c>
      <c r="J179" s="371">
        <f>J180+J181+J182</f>
        <v>284.8</v>
      </c>
      <c r="K179" s="88">
        <f>J179/(H179+1E-133)*100-100</f>
        <v>42.7</v>
      </c>
      <c r="L179" s="204">
        <f>L180+L181+L182</f>
        <v>0</v>
      </c>
      <c r="M179" s="88">
        <f>L179/(H179+1E-106)*100-100</f>
        <v>-100</v>
      </c>
      <c r="N179" s="89">
        <f t="shared" si="24"/>
        <v>-284.8</v>
      </c>
      <c r="O179" s="87">
        <f>L179/($L$198+1E-103)*100</f>
        <v>0</v>
      </c>
      <c r="P179" s="278">
        <f>P180+P181+P182</f>
        <v>199.6</v>
      </c>
      <c r="Q179" s="207">
        <f>P179/(H179+1E-106)*100-100</f>
        <v>0</v>
      </c>
      <c r="R179" s="436">
        <f>R180+R181+R182</f>
        <v>199.6</v>
      </c>
      <c r="S179" s="278">
        <f>S180+S181+S182</f>
        <v>199.6</v>
      </c>
      <c r="T179" s="436">
        <v>199.6</v>
      </c>
      <c r="U179" s="206">
        <f t="shared" si="26"/>
        <v>0</v>
      </c>
      <c r="V179" s="206">
        <f t="shared" si="27"/>
        <v>0</v>
      </c>
      <c r="W179" s="207">
        <f t="shared" si="28"/>
        <v>-85.2</v>
      </c>
      <c r="X179" s="87">
        <f t="shared" si="25"/>
        <v>1.8</v>
      </c>
      <c r="Y179" s="275"/>
      <c r="Z179" s="279"/>
    </row>
    <row r="180" spans="1:26" ht="12.75">
      <c r="A180" s="1" t="s">
        <v>62</v>
      </c>
      <c r="B180" s="40" t="s">
        <v>53</v>
      </c>
      <c r="C180" s="31" t="s">
        <v>8</v>
      </c>
      <c r="D180" s="214"/>
      <c r="E180" s="236"/>
      <c r="F180" s="213">
        <v>477.87</v>
      </c>
      <c r="G180" s="252">
        <v>16.96</v>
      </c>
      <c r="H180" s="98">
        <v>16.96</v>
      </c>
      <c r="I180" s="98">
        <v>16.96</v>
      </c>
      <c r="J180" s="365">
        <v>17</v>
      </c>
      <c r="K180" s="90">
        <f>J180/(H180+1E-133)*100-100</f>
        <v>0.2</v>
      </c>
      <c r="L180" s="213"/>
      <c r="M180" s="90"/>
      <c r="N180" s="91"/>
      <c r="O180" s="106"/>
      <c r="P180" s="277">
        <f>H180</f>
        <v>16.96</v>
      </c>
      <c r="Q180" s="211">
        <f aca="true" t="shared" si="32" ref="Q180:Q187">P180/(H180+1E-106)*100-100</f>
        <v>0</v>
      </c>
      <c r="R180" s="425">
        <v>17</v>
      </c>
      <c r="S180" s="234">
        <f>H180</f>
        <v>17</v>
      </c>
      <c r="T180" s="424">
        <v>17</v>
      </c>
      <c r="U180" s="212">
        <f t="shared" si="26"/>
        <v>0.2</v>
      </c>
      <c r="V180" s="212">
        <f t="shared" si="27"/>
        <v>0.2</v>
      </c>
      <c r="W180" s="211">
        <f t="shared" si="28"/>
        <v>0</v>
      </c>
      <c r="X180" s="106">
        <f>S180/($S$198+1E-103)*100</f>
        <v>0.2</v>
      </c>
      <c r="Y180" s="160"/>
      <c r="Z180" s="12"/>
    </row>
    <row r="181" spans="1:26" ht="12.75">
      <c r="A181" s="1" t="s">
        <v>62</v>
      </c>
      <c r="B181" s="40" t="s">
        <v>54</v>
      </c>
      <c r="C181" s="31" t="s">
        <v>8</v>
      </c>
      <c r="D181" s="214"/>
      <c r="E181" s="236"/>
      <c r="F181" s="213">
        <v>141.7</v>
      </c>
      <c r="G181" s="252">
        <v>106.5</v>
      </c>
      <c r="H181" s="98">
        <f>106.5/5</f>
        <v>21.3</v>
      </c>
      <c r="I181" s="98">
        <v>106.5</v>
      </c>
      <c r="J181" s="365">
        <v>106.5</v>
      </c>
      <c r="K181" s="90">
        <f aca="true" t="shared" si="33" ref="K181:K187">J181/(H181+1E-133)*100-100</f>
        <v>400</v>
      </c>
      <c r="L181" s="213"/>
      <c r="M181" s="90">
        <f aca="true" t="shared" si="34" ref="M181:M187">L181/(H181+1E-106)*100-100</f>
        <v>-100</v>
      </c>
      <c r="N181" s="91">
        <f t="shared" si="24"/>
        <v>-106.5</v>
      </c>
      <c r="O181" s="106"/>
      <c r="P181" s="234">
        <f>H181</f>
        <v>21.3</v>
      </c>
      <c r="Q181" s="211">
        <f t="shared" si="32"/>
        <v>0</v>
      </c>
      <c r="R181" s="425">
        <v>21.3</v>
      </c>
      <c r="S181" s="234">
        <f>H181</f>
        <v>21.3</v>
      </c>
      <c r="T181" s="424">
        <v>21.3</v>
      </c>
      <c r="U181" s="212">
        <f t="shared" si="26"/>
        <v>0</v>
      </c>
      <c r="V181" s="212">
        <f t="shared" si="27"/>
        <v>0</v>
      </c>
      <c r="W181" s="211">
        <f t="shared" si="28"/>
        <v>-85.2</v>
      </c>
      <c r="X181" s="106">
        <f t="shared" si="25"/>
        <v>0.2</v>
      </c>
      <c r="Y181" s="382" t="s">
        <v>236</v>
      </c>
      <c r="Z181" s="12"/>
    </row>
    <row r="182" spans="1:26" ht="12.75">
      <c r="A182" s="1" t="s">
        <v>62</v>
      </c>
      <c r="B182" s="40" t="s">
        <v>69</v>
      </c>
      <c r="C182" s="31" t="s">
        <v>8</v>
      </c>
      <c r="D182" s="214"/>
      <c r="E182" s="236"/>
      <c r="F182" s="213">
        <v>315.3</v>
      </c>
      <c r="G182" s="252">
        <v>161.3</v>
      </c>
      <c r="H182" s="98">
        <v>161.3</v>
      </c>
      <c r="I182" s="98">
        <v>161.3</v>
      </c>
      <c r="J182" s="365">
        <v>161.3</v>
      </c>
      <c r="K182" s="90">
        <f t="shared" si="33"/>
        <v>0</v>
      </c>
      <c r="L182" s="213"/>
      <c r="M182" s="90">
        <f t="shared" si="34"/>
        <v>-100</v>
      </c>
      <c r="N182" s="91">
        <f t="shared" si="24"/>
        <v>-161.3</v>
      </c>
      <c r="O182" s="106"/>
      <c r="P182" s="234">
        <f>H182</f>
        <v>161.3</v>
      </c>
      <c r="Q182" s="211">
        <f t="shared" si="32"/>
        <v>0</v>
      </c>
      <c r="R182" s="425">
        <v>161.3</v>
      </c>
      <c r="S182" s="234">
        <f>H182</f>
        <v>161.3</v>
      </c>
      <c r="T182" s="424">
        <v>161.3</v>
      </c>
      <c r="U182" s="212">
        <f t="shared" si="26"/>
        <v>0</v>
      </c>
      <c r="V182" s="212">
        <f t="shared" si="27"/>
        <v>0</v>
      </c>
      <c r="W182" s="211">
        <f t="shared" si="28"/>
        <v>0</v>
      </c>
      <c r="X182" s="106">
        <f t="shared" si="25"/>
        <v>1.4</v>
      </c>
      <c r="Y182" s="160"/>
      <c r="Z182" s="12"/>
    </row>
    <row r="183" spans="1:26" ht="25.5">
      <c r="A183" s="51">
        <v>22</v>
      </c>
      <c r="B183" s="40" t="s">
        <v>51</v>
      </c>
      <c r="C183" s="31" t="s">
        <v>8</v>
      </c>
      <c r="D183" s="214"/>
      <c r="E183" s="236"/>
      <c r="F183" s="213"/>
      <c r="G183" s="252"/>
      <c r="H183" s="98"/>
      <c r="I183" s="98"/>
      <c r="J183" s="365"/>
      <c r="K183" s="90">
        <f t="shared" si="33"/>
        <v>-100</v>
      </c>
      <c r="L183" s="213"/>
      <c r="M183" s="90">
        <f t="shared" si="34"/>
        <v>-100</v>
      </c>
      <c r="N183" s="91">
        <f>L183-J183</f>
        <v>0</v>
      </c>
      <c r="O183" s="106">
        <f>L183/($L$198+1E-103)*100</f>
        <v>0</v>
      </c>
      <c r="P183" s="235">
        <f>H183*1.06</f>
        <v>0</v>
      </c>
      <c r="Q183" s="211">
        <f t="shared" si="32"/>
        <v>-100</v>
      </c>
      <c r="R183" s="425">
        <v>0</v>
      </c>
      <c r="S183" s="234">
        <f>H183*1.12</f>
        <v>0</v>
      </c>
      <c r="T183" s="424">
        <v>0</v>
      </c>
      <c r="U183" s="212">
        <f t="shared" si="26"/>
        <v>-100</v>
      </c>
      <c r="V183" s="212">
        <f t="shared" si="27"/>
        <v>-100</v>
      </c>
      <c r="W183" s="211">
        <f t="shared" si="28"/>
        <v>0</v>
      </c>
      <c r="X183" s="106">
        <f t="shared" si="25"/>
        <v>0</v>
      </c>
      <c r="Y183" s="160"/>
      <c r="Z183" s="12"/>
    </row>
    <row r="184" spans="1:26" ht="25.5" customHeight="1">
      <c r="A184" s="51">
        <v>23</v>
      </c>
      <c r="B184" s="39" t="s">
        <v>110</v>
      </c>
      <c r="C184" s="52" t="s">
        <v>8</v>
      </c>
      <c r="D184" s="202">
        <f aca="true" t="shared" si="35" ref="D184:J184">D132+D140+D151+D152+D153+D156+D157+D158+D162+D168+D174+D179+D183</f>
        <v>0</v>
      </c>
      <c r="E184" s="248">
        <f t="shared" si="35"/>
        <v>0</v>
      </c>
      <c r="F184" s="265">
        <f t="shared" si="35"/>
        <v>148860.8</v>
      </c>
      <c r="G184" s="371">
        <v>12217</v>
      </c>
      <c r="H184" s="265">
        <f t="shared" si="35"/>
        <v>9747.8</v>
      </c>
      <c r="I184" s="265">
        <f t="shared" si="35"/>
        <v>12217</v>
      </c>
      <c r="J184" s="371">
        <f t="shared" si="35"/>
        <v>13647.5</v>
      </c>
      <c r="K184" s="88">
        <f t="shared" si="33"/>
        <v>40</v>
      </c>
      <c r="L184" s="204">
        <f>L132+L140+L151+L152+L153+L156+L157+L158+L162+L168+L174+L179+L183</f>
        <v>0</v>
      </c>
      <c r="M184" s="88">
        <f t="shared" si="34"/>
        <v>-100</v>
      </c>
      <c r="N184" s="89">
        <f>L184-J184</f>
        <v>-13647.5</v>
      </c>
      <c r="O184" s="87"/>
      <c r="P184" s="265">
        <f>P132+P140+P151+P152+P153+P156+P157+P158+P162+P168+P174+P179+P183</f>
        <v>10347.8</v>
      </c>
      <c r="Q184" s="207">
        <f t="shared" si="32"/>
        <v>6.2</v>
      </c>
      <c r="R184" s="432">
        <f>R132+R140+R151+R152+R153+R156+R157+R158+R162+R168+R174+R179+R183</f>
        <v>11662.7</v>
      </c>
      <c r="S184" s="265">
        <f>S132+S140+S151+S152+S153+S156+S157+S158+S162+S168+S174+S179+S183</f>
        <v>10937.3</v>
      </c>
      <c r="T184" s="432">
        <f>T132+T140+T151+T152+T153+T156+T157+T158+T162+T168+T174+T179+T183</f>
        <v>12309.4</v>
      </c>
      <c r="U184" s="206">
        <f t="shared" si="26"/>
        <v>5.7</v>
      </c>
      <c r="V184" s="206">
        <f t="shared" si="27"/>
        <v>12.2</v>
      </c>
      <c r="W184" s="207">
        <f t="shared" si="28"/>
        <v>-2710.2</v>
      </c>
      <c r="X184" s="87">
        <f t="shared" si="25"/>
        <v>97.4</v>
      </c>
      <c r="Y184" s="266"/>
      <c r="Z184" s="13"/>
    </row>
    <row r="185" spans="1:26" ht="18.75" customHeight="1">
      <c r="A185" s="54">
        <v>24</v>
      </c>
      <c r="B185" s="50" t="s">
        <v>17</v>
      </c>
      <c r="C185" s="55" t="s">
        <v>18</v>
      </c>
      <c r="D185" s="283">
        <f aca="true" t="shared" si="36" ref="D185:J185">D184/(D24+1E-100)*1000</f>
        <v>0</v>
      </c>
      <c r="E185" s="283">
        <f t="shared" si="36"/>
        <v>0</v>
      </c>
      <c r="F185" s="284">
        <f t="shared" si="36"/>
        <v>876.69</v>
      </c>
      <c r="G185" s="284">
        <v>1094.1</v>
      </c>
      <c r="H185" s="284">
        <f t="shared" si="36"/>
        <v>872.97</v>
      </c>
      <c r="I185" s="284">
        <f t="shared" si="36"/>
        <v>1094.1</v>
      </c>
      <c r="J185" s="284">
        <f t="shared" si="36"/>
        <v>1222.21</v>
      </c>
      <c r="K185" s="116">
        <f t="shared" si="33"/>
        <v>40</v>
      </c>
      <c r="L185" s="285" t="e">
        <f>L184/(L24+1E-100)*1000</f>
        <v>#REF!</v>
      </c>
      <c r="M185" s="116" t="e">
        <f t="shared" si="34"/>
        <v>#REF!</v>
      </c>
      <c r="N185" s="117" t="e">
        <f>L185-J185</f>
        <v>#REF!</v>
      </c>
      <c r="O185" s="118"/>
      <c r="P185" s="284">
        <f>P184/(P24+1E-100)*1000</f>
        <v>926.7</v>
      </c>
      <c r="Q185" s="286">
        <f t="shared" si="32"/>
        <v>6.15</v>
      </c>
      <c r="R185" s="437">
        <f>R184/(R24+1E-100)*1000</f>
        <v>1044.46</v>
      </c>
      <c r="S185" s="284">
        <f>S184/(S24+1E-100)*1000</f>
        <v>979.49</v>
      </c>
      <c r="T185" s="437">
        <f>T184/(T24+1E-100)*1000</f>
        <v>1102.37</v>
      </c>
      <c r="U185" s="287">
        <f t="shared" si="26"/>
        <v>5.7</v>
      </c>
      <c r="V185" s="287">
        <f t="shared" si="27"/>
        <v>12.2</v>
      </c>
      <c r="W185" s="288">
        <f t="shared" si="28"/>
        <v>-242.7</v>
      </c>
      <c r="X185" s="118">
        <f t="shared" si="25"/>
        <v>8.7</v>
      </c>
      <c r="Y185" s="289"/>
      <c r="Z185" s="12"/>
    </row>
    <row r="186" spans="1:26" ht="12.75" customHeight="1">
      <c r="A186" s="1"/>
      <c r="B186" s="40" t="s">
        <v>19</v>
      </c>
      <c r="C186" s="44" t="s">
        <v>5</v>
      </c>
      <c r="D186" s="290">
        <f>D187/(D184+1E-95)*100</f>
        <v>0</v>
      </c>
      <c r="E186" s="291">
        <f>E187/(E184+1E-95)*100</f>
        <v>0</v>
      </c>
      <c r="F186" s="293">
        <f>F187/(F184+1E-95)*100</f>
        <v>1.85</v>
      </c>
      <c r="G186" s="378">
        <v>1.76</v>
      </c>
      <c r="H186" s="293">
        <f>H187/(H184+1E-95)*100</f>
        <v>2.21</v>
      </c>
      <c r="I186" s="293">
        <v>1.76</v>
      </c>
      <c r="J186" s="377">
        <v>1.82</v>
      </c>
      <c r="K186" s="90">
        <f t="shared" si="33"/>
        <v>-17.6</v>
      </c>
      <c r="L186" s="292">
        <f>L187/(L184+1E-95)*100</f>
        <v>0</v>
      </c>
      <c r="M186" s="90">
        <f t="shared" si="34"/>
        <v>-100</v>
      </c>
      <c r="N186" s="91"/>
      <c r="O186" s="106"/>
      <c r="P186" s="293">
        <f>P187/(P184+1E-95)*100</f>
        <v>2.08</v>
      </c>
      <c r="Q186" s="276">
        <f t="shared" si="32"/>
        <v>-5.88</v>
      </c>
      <c r="R186" s="438">
        <f>R187/(R184+1E-95)*100</f>
        <v>1.85</v>
      </c>
      <c r="S186" s="293">
        <f>S187/(S184+1E-95)*100</f>
        <v>1.97</v>
      </c>
      <c r="T186" s="438">
        <f>T187/(T184+1E-95)*100</f>
        <v>1.75</v>
      </c>
      <c r="U186" s="212">
        <f t="shared" si="26"/>
        <v>-5.3</v>
      </c>
      <c r="V186" s="212">
        <f t="shared" si="27"/>
        <v>-10.9</v>
      </c>
      <c r="W186" s="211">
        <f t="shared" si="28"/>
        <v>0.2</v>
      </c>
      <c r="X186" s="106">
        <f t="shared" si="25"/>
        <v>0</v>
      </c>
      <c r="Y186" s="160"/>
      <c r="Z186" s="12"/>
    </row>
    <row r="187" spans="1:26" ht="12.75" customHeight="1">
      <c r="A187" s="51">
        <v>25</v>
      </c>
      <c r="B187" s="40" t="s">
        <v>57</v>
      </c>
      <c r="C187" s="44" t="s">
        <v>63</v>
      </c>
      <c r="D187" s="292">
        <f>D188+D189+D190+D191+D193</f>
        <v>0</v>
      </c>
      <c r="E187" s="294">
        <f>IF((E184+E196+E197+E188)&gt;(C206*D206+C211*D211+C214*D214+C215*D215+C216*D216)/1000+E201,0,(C206*D206+C211*D211+C214*D214+C215*D215+C216*D216)/1000+E201-E184-E196-E197)</f>
        <v>0</v>
      </c>
      <c r="F187" s="361">
        <v>2759.89</v>
      </c>
      <c r="G187" s="294">
        <v>215.6</v>
      </c>
      <c r="H187" s="293">
        <f>H188+H189+H190+H191+H193</f>
        <v>215.6</v>
      </c>
      <c r="I187" s="293">
        <f>I188+I189+I190+I191+I193</f>
        <v>215.6</v>
      </c>
      <c r="J187" s="378">
        <f>J188+J189+J190+J191+J193</f>
        <v>215.6</v>
      </c>
      <c r="K187" s="90">
        <f t="shared" si="33"/>
        <v>0</v>
      </c>
      <c r="L187" s="292">
        <f>L188+L189+L190+L191+L193</f>
        <v>0</v>
      </c>
      <c r="M187" s="90">
        <f t="shared" si="34"/>
        <v>-100</v>
      </c>
      <c r="N187" s="91">
        <f>L187-J187</f>
        <v>-215.6</v>
      </c>
      <c r="O187" s="106">
        <f>L187/($L$198+1E-103)*100</f>
        <v>0</v>
      </c>
      <c r="P187" s="293">
        <f>P188+P189+P190+P191+P193</f>
        <v>215.6</v>
      </c>
      <c r="Q187" s="276">
        <f t="shared" si="32"/>
        <v>0</v>
      </c>
      <c r="R187" s="438">
        <f>R188+R189+R190+R191+R193</f>
        <v>215.6</v>
      </c>
      <c r="S187" s="293">
        <f>S188+S189+S190+S191+S193</f>
        <v>215.6</v>
      </c>
      <c r="T187" s="438">
        <v>215.6</v>
      </c>
      <c r="U187" s="212">
        <f t="shared" si="26"/>
        <v>0</v>
      </c>
      <c r="V187" s="212">
        <f t="shared" si="27"/>
        <v>0</v>
      </c>
      <c r="W187" s="211">
        <f t="shared" si="28"/>
        <v>0</v>
      </c>
      <c r="X187" s="106">
        <f t="shared" si="25"/>
        <v>1.9</v>
      </c>
      <c r="Y187" s="160"/>
      <c r="Z187" s="12"/>
    </row>
    <row r="188" spans="1:26" ht="38.25" customHeight="1">
      <c r="A188" s="14" t="s">
        <v>62</v>
      </c>
      <c r="B188" s="477" t="s">
        <v>137</v>
      </c>
      <c r="C188" s="477"/>
      <c r="D188" s="295"/>
      <c r="E188" s="272"/>
      <c r="F188" s="295"/>
      <c r="G188" s="389"/>
      <c r="H188" s="98"/>
      <c r="I188" s="98"/>
      <c r="J188" s="365"/>
      <c r="K188" s="90"/>
      <c r="L188" s="213"/>
      <c r="M188" s="90"/>
      <c r="N188" s="91"/>
      <c r="O188" s="106"/>
      <c r="P188" s="293"/>
      <c r="Q188" s="276"/>
      <c r="R188" s="430"/>
      <c r="S188" s="293"/>
      <c r="T188" s="438"/>
      <c r="U188" s="212"/>
      <c r="V188" s="212"/>
      <c r="W188" s="211"/>
      <c r="X188" s="106"/>
      <c r="Y188" s="160"/>
      <c r="Z188" s="12"/>
    </row>
    <row r="189" spans="1:26" ht="12.75">
      <c r="A189" s="14" t="s">
        <v>62</v>
      </c>
      <c r="B189" s="460" t="s">
        <v>58</v>
      </c>
      <c r="C189" s="460"/>
      <c r="D189" s="296"/>
      <c r="E189" s="272"/>
      <c r="F189" s="295"/>
      <c r="G189" s="389"/>
      <c r="H189" s="98"/>
      <c r="I189" s="98"/>
      <c r="J189" s="365"/>
      <c r="K189" s="90"/>
      <c r="L189" s="213"/>
      <c r="M189" s="90"/>
      <c r="N189" s="91"/>
      <c r="O189" s="106"/>
      <c r="P189" s="293"/>
      <c r="Q189" s="276"/>
      <c r="R189" s="430"/>
      <c r="S189" s="293"/>
      <c r="T189" s="438"/>
      <c r="U189" s="212"/>
      <c r="V189" s="212"/>
      <c r="W189" s="211"/>
      <c r="X189" s="106"/>
      <c r="Y189" s="160"/>
      <c r="Z189" s="12"/>
    </row>
    <row r="190" spans="1:26" ht="12.75">
      <c r="A190" s="14" t="s">
        <v>62</v>
      </c>
      <c r="B190" s="460" t="s">
        <v>59</v>
      </c>
      <c r="C190" s="460"/>
      <c r="D190" s="296"/>
      <c r="E190" s="272"/>
      <c r="F190" s="295"/>
      <c r="G190" s="389"/>
      <c r="H190" s="98"/>
      <c r="I190" s="98"/>
      <c r="J190" s="365"/>
      <c r="K190" s="90"/>
      <c r="L190" s="213"/>
      <c r="M190" s="90"/>
      <c r="N190" s="91"/>
      <c r="O190" s="106"/>
      <c r="P190" s="293"/>
      <c r="Q190" s="276"/>
      <c r="R190" s="430"/>
      <c r="S190" s="293"/>
      <c r="T190" s="438"/>
      <c r="U190" s="212"/>
      <c r="V190" s="212"/>
      <c r="W190" s="211"/>
      <c r="X190" s="106"/>
      <c r="Y190" s="160"/>
      <c r="Z190" s="12"/>
    </row>
    <row r="191" spans="1:26" ht="12.75">
      <c r="A191" s="14" t="s">
        <v>62</v>
      </c>
      <c r="B191" s="460" t="s">
        <v>139</v>
      </c>
      <c r="C191" s="460"/>
      <c r="D191" s="296"/>
      <c r="E191" s="291">
        <f>IF(E187=0,0,E187-E188-E189-E190-E193)</f>
        <v>0</v>
      </c>
      <c r="F191" s="292">
        <v>2759.89</v>
      </c>
      <c r="G191" s="391">
        <v>215.6</v>
      </c>
      <c r="H191" s="98">
        <f>I191</f>
        <v>215.6</v>
      </c>
      <c r="I191" s="98">
        <v>215.6</v>
      </c>
      <c r="J191" s="365">
        <f>H191</f>
        <v>215.6</v>
      </c>
      <c r="K191" s="90">
        <f>J191/(H191+1E-133)*100-100</f>
        <v>0</v>
      </c>
      <c r="L191" s="213"/>
      <c r="M191" s="90"/>
      <c r="N191" s="91"/>
      <c r="O191" s="106"/>
      <c r="P191" s="293">
        <f>H191</f>
        <v>215.6</v>
      </c>
      <c r="Q191" s="276">
        <f>P191/(H191+1E-106)*100-100</f>
        <v>0</v>
      </c>
      <c r="R191" s="430">
        <v>215.6</v>
      </c>
      <c r="S191" s="293">
        <f>H191</f>
        <v>215.6</v>
      </c>
      <c r="T191" s="438">
        <v>215.6</v>
      </c>
      <c r="U191" s="212">
        <f>S191/(P191+1E-106)*100-100</f>
        <v>0</v>
      </c>
      <c r="V191" s="212">
        <f>S191/(H191+1E-106)*100-100</f>
        <v>0</v>
      </c>
      <c r="W191" s="211">
        <f>S191-J191</f>
        <v>0</v>
      </c>
      <c r="X191" s="106">
        <f>S191/($S$198+1E-103)*100</f>
        <v>1.9</v>
      </c>
      <c r="Y191" s="160"/>
      <c r="Z191" s="12"/>
    </row>
    <row r="192" spans="1:26" ht="12.75">
      <c r="A192" s="14"/>
      <c r="B192" s="470" t="s">
        <v>138</v>
      </c>
      <c r="C192" s="470"/>
      <c r="D192" s="297"/>
      <c r="E192" s="291"/>
      <c r="F192" s="292"/>
      <c r="G192" s="391"/>
      <c r="H192" s="98"/>
      <c r="I192" s="98"/>
      <c r="J192" s="365"/>
      <c r="K192" s="90"/>
      <c r="L192" s="213"/>
      <c r="M192" s="90"/>
      <c r="N192" s="91"/>
      <c r="O192" s="106"/>
      <c r="P192" s="293"/>
      <c r="Q192" s="276"/>
      <c r="R192" s="430"/>
      <c r="S192" s="293"/>
      <c r="T192" s="438"/>
      <c r="U192" s="212"/>
      <c r="V192" s="212"/>
      <c r="W192" s="211"/>
      <c r="X192" s="106"/>
      <c r="Y192" s="160"/>
      <c r="Z192" s="12"/>
    </row>
    <row r="193" spans="1:26" ht="12.75">
      <c r="A193" s="1" t="s">
        <v>62</v>
      </c>
      <c r="B193" s="45" t="s">
        <v>61</v>
      </c>
      <c r="C193" s="44"/>
      <c r="D193" s="298"/>
      <c r="E193" s="272"/>
      <c r="F193" s="295"/>
      <c r="G193" s="389"/>
      <c r="H193" s="98"/>
      <c r="I193" s="98"/>
      <c r="J193" s="365"/>
      <c r="K193" s="90"/>
      <c r="L193" s="213"/>
      <c r="M193" s="90"/>
      <c r="N193" s="91"/>
      <c r="O193" s="106"/>
      <c r="P193" s="293"/>
      <c r="Q193" s="276"/>
      <c r="R193" s="430"/>
      <c r="S193" s="293"/>
      <c r="T193" s="438"/>
      <c r="U193" s="212"/>
      <c r="V193" s="212"/>
      <c r="W193" s="211"/>
      <c r="X193" s="106"/>
      <c r="Y193" s="160"/>
      <c r="Z193" s="12"/>
    </row>
    <row r="194" spans="1:26" ht="12.75">
      <c r="A194" s="1"/>
      <c r="B194" s="47" t="s">
        <v>60</v>
      </c>
      <c r="C194" s="46"/>
      <c r="D194" s="298"/>
      <c r="E194" s="272"/>
      <c r="F194" s="295"/>
      <c r="G194" s="389"/>
      <c r="H194" s="98"/>
      <c r="I194" s="98"/>
      <c r="J194" s="365"/>
      <c r="K194" s="90"/>
      <c r="L194" s="213"/>
      <c r="M194" s="90"/>
      <c r="N194" s="91"/>
      <c r="O194" s="106"/>
      <c r="P194" s="293"/>
      <c r="Q194" s="276"/>
      <c r="R194" s="430"/>
      <c r="S194" s="293"/>
      <c r="T194" s="438"/>
      <c r="U194" s="212"/>
      <c r="V194" s="212"/>
      <c r="W194" s="211"/>
      <c r="X194" s="106"/>
      <c r="Y194" s="160"/>
      <c r="Z194" s="12"/>
    </row>
    <row r="195" spans="1:26" ht="13.5">
      <c r="A195" s="1"/>
      <c r="B195" s="70" t="s">
        <v>135</v>
      </c>
      <c r="C195" s="44" t="s">
        <v>63</v>
      </c>
      <c r="D195" s="298"/>
      <c r="E195" s="299">
        <f>IF((E184+E196+E197+E188)&gt;(C206*D206+C211*D211+C214*D214+C215*D215+C216*D216)/1000+E201,(C206*D206+C211*D211+C214*D214+C215*D215+C216*D216)/1000+E201-E184-E196-E197-E188,0)</f>
        <v>0</v>
      </c>
      <c r="F195" s="362"/>
      <c r="G195" s="299"/>
      <c r="H195" s="98"/>
      <c r="I195" s="98"/>
      <c r="J195" s="365"/>
      <c r="K195" s="90"/>
      <c r="L195" s="213"/>
      <c r="M195" s="90"/>
      <c r="N195" s="91"/>
      <c r="O195" s="106"/>
      <c r="P195" s="293"/>
      <c r="Q195" s="276"/>
      <c r="R195" s="430"/>
      <c r="S195" s="293"/>
      <c r="T195" s="438"/>
      <c r="U195" s="212"/>
      <c r="V195" s="212"/>
      <c r="W195" s="211"/>
      <c r="X195" s="106"/>
      <c r="Y195" s="160"/>
      <c r="Z195" s="12"/>
    </row>
    <row r="196" spans="1:26" ht="15.75">
      <c r="A196" s="51">
        <v>26</v>
      </c>
      <c r="B196" s="40" t="s">
        <v>36</v>
      </c>
      <c r="C196" s="44" t="s">
        <v>63</v>
      </c>
      <c r="D196" s="271"/>
      <c r="E196" s="272"/>
      <c r="F196" s="295">
        <v>918.99</v>
      </c>
      <c r="G196" s="389">
        <v>67.8</v>
      </c>
      <c r="H196" s="98">
        <v>67.8</v>
      </c>
      <c r="I196" s="98">
        <v>67.8</v>
      </c>
      <c r="J196" s="365">
        <f>H196</f>
        <v>67.8</v>
      </c>
      <c r="K196" s="90">
        <f>J196/(H196+1E-133)*100-100</f>
        <v>0</v>
      </c>
      <c r="L196" s="213"/>
      <c r="M196" s="90"/>
      <c r="N196" s="91"/>
      <c r="O196" s="106"/>
      <c r="P196" s="293">
        <f>H196</f>
        <v>67.8</v>
      </c>
      <c r="Q196" s="276">
        <f>P196/(H196+1E-106)*100-100</f>
        <v>0</v>
      </c>
      <c r="R196" s="430">
        <v>67.8</v>
      </c>
      <c r="S196" s="293">
        <f>H196*1.051</f>
        <v>71.26</v>
      </c>
      <c r="T196" s="438">
        <v>71.26</v>
      </c>
      <c r="U196" s="212">
        <f>S196/(P196+1E-106)*100-100</f>
        <v>5.1</v>
      </c>
      <c r="V196" s="212">
        <f>S196/(H196+1E-106)*100-100</f>
        <v>5.1</v>
      </c>
      <c r="W196" s="211">
        <f>S196-J196</f>
        <v>3.5</v>
      </c>
      <c r="X196" s="106">
        <f>S196/($S$198+1E-103)*100</f>
        <v>0.6</v>
      </c>
      <c r="Y196" s="166"/>
      <c r="Z196" s="12"/>
    </row>
    <row r="197" spans="1:26" ht="15.75">
      <c r="A197" s="51">
        <v>27</v>
      </c>
      <c r="B197" s="40" t="s">
        <v>37</v>
      </c>
      <c r="C197" s="44" t="s">
        <v>63</v>
      </c>
      <c r="D197" s="271"/>
      <c r="E197" s="272"/>
      <c r="F197" s="295"/>
      <c r="G197" s="389"/>
      <c r="H197" s="98"/>
      <c r="I197" s="98"/>
      <c r="J197" s="365"/>
      <c r="K197" s="90"/>
      <c r="L197" s="213"/>
      <c r="M197" s="90"/>
      <c r="N197" s="91"/>
      <c r="O197" s="106"/>
      <c r="P197" s="293"/>
      <c r="Q197" s="276"/>
      <c r="R197" s="430"/>
      <c r="S197" s="293"/>
      <c r="T197" s="438"/>
      <c r="U197" s="212"/>
      <c r="V197" s="212"/>
      <c r="W197" s="211"/>
      <c r="X197" s="106"/>
      <c r="Y197" s="167"/>
      <c r="Z197" s="12"/>
    </row>
    <row r="198" spans="1:25" ht="47.25">
      <c r="A198" s="51">
        <v>28</v>
      </c>
      <c r="B198" s="39" t="s">
        <v>111</v>
      </c>
      <c r="C198" s="53" t="s">
        <v>63</v>
      </c>
      <c r="D198" s="300">
        <f>D184+D187+D196+D197</f>
        <v>0</v>
      </c>
      <c r="E198" s="274">
        <f>IF(E187=0,E184+E188+E196+E197+E195,E184+E187+E196+E197+E195)</f>
        <v>0</v>
      </c>
      <c r="F198" s="301">
        <f>F184+F187+F196+F197</f>
        <v>152539.68</v>
      </c>
      <c r="G198" s="379">
        <v>12500.4</v>
      </c>
      <c r="H198" s="301">
        <f>H184+H187+H196+H197</f>
        <v>10031.2</v>
      </c>
      <c r="I198" s="301">
        <f>I184+I187+I196+I197</f>
        <v>12500.4</v>
      </c>
      <c r="J198" s="379">
        <f>J184+J187+J196+J197</f>
        <v>13930.9</v>
      </c>
      <c r="K198" s="88">
        <f>J198/(H198+1E-133)*100-100</f>
        <v>38.9</v>
      </c>
      <c r="L198" s="273">
        <f>L184+L187+L196+L197</f>
        <v>0</v>
      </c>
      <c r="M198" s="88">
        <f>L198/(H198+1E-106)*100-100</f>
        <v>-100</v>
      </c>
      <c r="N198" s="89">
        <f>L198-J198</f>
        <v>-13930.9</v>
      </c>
      <c r="O198" s="87">
        <f>O132+O140+O151+O152+O153+O156+O157+O158+O162+O168+O174+O179+O183+O187+O196+O197</f>
        <v>0</v>
      </c>
      <c r="P198" s="301">
        <f>P184+P187+P196+P197</f>
        <v>10631.2</v>
      </c>
      <c r="Q198" s="264">
        <f>P198/(H198+1E-106)*100-100</f>
        <v>5.98</v>
      </c>
      <c r="R198" s="437">
        <f>R184+R187+R196+R197</f>
        <v>11946.1</v>
      </c>
      <c r="S198" s="301">
        <f>S184+S187+S196+S197</f>
        <v>11224.16</v>
      </c>
      <c r="T198" s="437">
        <f>T184+T187+T196+T197</f>
        <v>12596.26</v>
      </c>
      <c r="U198" s="205">
        <f>S198/(P198+1E-106)*100-100</f>
        <v>5.58</v>
      </c>
      <c r="V198" s="205">
        <f>S198/(H198+1E-106)*100-100</f>
        <v>11.89</v>
      </c>
      <c r="W198" s="205">
        <f>S198-J198</f>
        <v>-2706.74</v>
      </c>
      <c r="X198" s="87">
        <f>S198/($S$198+1E-103)*100</f>
        <v>100</v>
      </c>
      <c r="Y198" s="165" t="s">
        <v>134</v>
      </c>
    </row>
    <row r="199" spans="1:25" ht="22.5" customHeight="1">
      <c r="A199" s="54">
        <v>29</v>
      </c>
      <c r="B199" s="50" t="s">
        <v>20</v>
      </c>
      <c r="C199" s="55" t="s">
        <v>18</v>
      </c>
      <c r="D199" s="283">
        <f aca="true" t="shared" si="37" ref="D199:J199">D198/(D24+1E-99)*1000</f>
        <v>0</v>
      </c>
      <c r="E199" s="283">
        <f t="shared" si="37"/>
        <v>0</v>
      </c>
      <c r="F199" s="285">
        <f t="shared" si="37"/>
        <v>898.35</v>
      </c>
      <c r="G199" s="285">
        <v>1119.48</v>
      </c>
      <c r="H199" s="285">
        <f t="shared" si="37"/>
        <v>898.35</v>
      </c>
      <c r="I199" s="285">
        <f t="shared" si="37"/>
        <v>1119.48</v>
      </c>
      <c r="J199" s="285">
        <f t="shared" si="37"/>
        <v>1247.59</v>
      </c>
      <c r="K199" s="116">
        <f>J199/(H199+1E-133)*100-100</f>
        <v>38.9</v>
      </c>
      <c r="L199" s="302" t="e">
        <f>IF(L24=#REF!,L198/(L24+1E-101)*1000,"Ошибка")</f>
        <v>#REF!</v>
      </c>
      <c r="M199" s="116" t="e">
        <f>L199/(H199+1E-106)*100-100</f>
        <v>#REF!</v>
      </c>
      <c r="N199" s="117" t="e">
        <f>L199-J199</f>
        <v>#REF!</v>
      </c>
      <c r="O199" s="118"/>
      <c r="P199" s="285">
        <f>P198/(P24+1E-99)*1000</f>
        <v>952.08</v>
      </c>
      <c r="Q199" s="303">
        <f>P199/(H199+1E-106)*100-100</f>
        <v>6</v>
      </c>
      <c r="R199" s="418">
        <f>R198/(R24+1E-99)*1000</f>
        <v>1069.84</v>
      </c>
      <c r="S199" s="285">
        <f>S198/(S24+1E-99)*1000</f>
        <v>1005.18</v>
      </c>
      <c r="T199" s="418">
        <f>T198/(T24+1E-99)*1000</f>
        <v>1128.06</v>
      </c>
      <c r="U199" s="287">
        <f>S199/(P199+1E-106)*100-100</f>
        <v>5.6</v>
      </c>
      <c r="V199" s="287">
        <f>S199/(H199+1E-106)*100-100</f>
        <v>11.9</v>
      </c>
      <c r="W199" s="288">
        <f>S199-J199</f>
        <v>-242.4</v>
      </c>
      <c r="X199" s="286"/>
      <c r="Y199" s="304"/>
    </row>
    <row r="200" spans="1:35" ht="38.25" customHeight="1">
      <c r="A200" s="63"/>
      <c r="B200" s="473"/>
      <c r="C200" s="473"/>
      <c r="D200" s="473"/>
      <c r="E200" s="473"/>
      <c r="F200" s="473"/>
      <c r="G200" s="473"/>
      <c r="H200" s="473"/>
      <c r="I200" s="473"/>
      <c r="J200" s="473"/>
      <c r="K200" s="473"/>
      <c r="L200" s="473"/>
      <c r="M200" s="473"/>
      <c r="N200" s="473"/>
      <c r="O200" s="473"/>
      <c r="P200" s="473"/>
      <c r="Q200" s="473"/>
      <c r="R200" s="473"/>
      <c r="S200" s="473"/>
      <c r="T200" s="473"/>
      <c r="U200" s="473"/>
      <c r="V200" s="473"/>
      <c r="W200" s="473"/>
      <c r="X200" s="473"/>
      <c r="Y200" s="473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ht="39.75" customHeight="1" hidden="1">
      <c r="A201" s="456" t="s">
        <v>155</v>
      </c>
      <c r="B201" s="456"/>
      <c r="C201" s="53" t="s">
        <v>63</v>
      </c>
      <c r="D201" s="125"/>
      <c r="E201" s="141"/>
      <c r="F201" s="141"/>
      <c r="G201" s="141"/>
      <c r="H201" s="122">
        <f>IF((E206*J206+E211*J211+E214*J214+E215*J215+E216*J216)/1000=0,0,H198-(E206*J206+E211*J211+E214*J214+E215*J215+E216*J216)/1000)</f>
        <v>0</v>
      </c>
      <c r="I201" s="122"/>
      <c r="J201" s="380" t="s">
        <v>143</v>
      </c>
      <c r="K201" s="143" t="s">
        <v>143</v>
      </c>
      <c r="L201" s="140">
        <f>IF(O217=0,0,L198-O217)</f>
        <v>0</v>
      </c>
      <c r="M201" s="143" t="s">
        <v>143</v>
      </c>
      <c r="N201" s="143" t="s">
        <v>143</v>
      </c>
      <c r="O201" s="143" t="s">
        <v>143</v>
      </c>
      <c r="P201" s="413"/>
      <c r="Q201" s="413"/>
      <c r="R201" s="413"/>
      <c r="S201" s="413"/>
      <c r="T201" s="413"/>
      <c r="U201" s="414"/>
      <c r="V201" s="413"/>
      <c r="W201" s="413"/>
      <c r="X201" s="413"/>
      <c r="Y201" s="61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s="394" customFormat="1" ht="19.5" customHeight="1">
      <c r="A202" s="469" t="s">
        <v>211</v>
      </c>
      <c r="B202" s="469"/>
      <c r="C202" s="469"/>
      <c r="D202" s="469"/>
      <c r="E202" s="469"/>
      <c r="F202" s="469"/>
      <c r="G202" s="469"/>
      <c r="H202" s="469"/>
      <c r="I202" s="469"/>
      <c r="J202" s="469"/>
      <c r="K202" s="469"/>
      <c r="L202" s="469"/>
      <c r="M202" s="469"/>
      <c r="N202" s="469"/>
      <c r="O202" s="469"/>
      <c r="P202" s="469"/>
      <c r="Q202" s="469"/>
      <c r="R202" s="469"/>
      <c r="S202" s="469"/>
      <c r="T202" s="469"/>
      <c r="U202" s="469"/>
      <c r="V202" s="469"/>
      <c r="W202" s="469"/>
      <c r="X202" s="469"/>
      <c r="Y202" s="551"/>
      <c r="Z202" s="393"/>
      <c r="AA202" s="393"/>
      <c r="AB202" s="393"/>
      <c r="AC202" s="393"/>
      <c r="AD202" s="393"/>
      <c r="AE202" s="393"/>
      <c r="AF202" s="393"/>
      <c r="AG202" s="393"/>
      <c r="AH202" s="393"/>
      <c r="AI202" s="393"/>
    </row>
    <row r="203" spans="1:35" s="394" customFormat="1" ht="19.5" customHeight="1">
      <c r="A203" s="472"/>
      <c r="B203" s="471" t="s">
        <v>21</v>
      </c>
      <c r="C203" s="471" t="s">
        <v>212</v>
      </c>
      <c r="D203" s="471" t="s">
        <v>213</v>
      </c>
      <c r="E203" s="471" t="s">
        <v>214</v>
      </c>
      <c r="F203" s="457" t="s">
        <v>240</v>
      </c>
      <c r="G203" s="125"/>
      <c r="H203" s="471" t="s">
        <v>175</v>
      </c>
      <c r="I203" s="125"/>
      <c r="J203" s="496" t="s">
        <v>215</v>
      </c>
      <c r="K203" s="459" t="s">
        <v>216</v>
      </c>
      <c r="L203" s="516" t="s">
        <v>217</v>
      </c>
      <c r="M203" s="517"/>
      <c r="N203" s="517"/>
      <c r="O203" s="518"/>
      <c r="P203" s="496" t="s">
        <v>218</v>
      </c>
      <c r="Q203" s="496"/>
      <c r="R203" s="496"/>
      <c r="S203" s="496"/>
      <c r="T203" s="496"/>
      <c r="U203" s="496"/>
      <c r="V203" s="496"/>
      <c r="W203" s="457" t="s">
        <v>219</v>
      </c>
      <c r="X203" s="457" t="s">
        <v>106</v>
      </c>
      <c r="Y203" s="457" t="s">
        <v>220</v>
      </c>
      <c r="Z203" s="305"/>
      <c r="AA203" s="306"/>
      <c r="AB203" s="306"/>
      <c r="AC203" s="307"/>
      <c r="AD203" s="393"/>
      <c r="AE203" s="393"/>
      <c r="AF203" s="393"/>
      <c r="AG203" s="393"/>
      <c r="AH203" s="393"/>
      <c r="AI203" s="393"/>
    </row>
    <row r="204" spans="1:35" s="394" customFormat="1" ht="45" customHeight="1">
      <c r="A204" s="472"/>
      <c r="B204" s="471"/>
      <c r="C204" s="471"/>
      <c r="D204" s="471"/>
      <c r="E204" s="471"/>
      <c r="F204" s="457"/>
      <c r="G204" s="125"/>
      <c r="H204" s="471"/>
      <c r="I204" s="125"/>
      <c r="J204" s="496"/>
      <c r="K204" s="459"/>
      <c r="L204" s="519"/>
      <c r="M204" s="520"/>
      <c r="N204" s="520"/>
      <c r="O204" s="521"/>
      <c r="P204" s="308" t="s">
        <v>221</v>
      </c>
      <c r="Q204" s="57" t="s">
        <v>105</v>
      </c>
      <c r="R204" s="57"/>
      <c r="S204" s="308" t="s">
        <v>222</v>
      </c>
      <c r="T204" s="308"/>
      <c r="U204" s="57" t="s">
        <v>223</v>
      </c>
      <c r="V204" s="57" t="s">
        <v>205</v>
      </c>
      <c r="W204" s="457"/>
      <c r="X204" s="457"/>
      <c r="Y204" s="457"/>
      <c r="Z204" s="305"/>
      <c r="AA204" s="306"/>
      <c r="AB204" s="306"/>
      <c r="AC204" s="307"/>
      <c r="AD204" s="393"/>
      <c r="AE204" s="393"/>
      <c r="AF204" s="393"/>
      <c r="AG204" s="393"/>
      <c r="AH204" s="393"/>
      <c r="AI204" s="393"/>
    </row>
    <row r="205" spans="1:35" s="201" customFormat="1" ht="11.25" customHeight="1">
      <c r="A205" s="2">
        <v>1</v>
      </c>
      <c r="B205" s="69">
        <v>2</v>
      </c>
      <c r="C205" s="69">
        <v>3</v>
      </c>
      <c r="D205" s="69">
        <v>4</v>
      </c>
      <c r="E205" s="10">
        <v>5</v>
      </c>
      <c r="F205" s="10"/>
      <c r="G205" s="10"/>
      <c r="H205" s="10">
        <v>4</v>
      </c>
      <c r="I205" s="10"/>
      <c r="J205" s="11">
        <v>5</v>
      </c>
      <c r="K205" s="10">
        <v>6</v>
      </c>
      <c r="L205" s="531">
        <v>7</v>
      </c>
      <c r="M205" s="532"/>
      <c r="N205" s="532"/>
      <c r="O205" s="533"/>
      <c r="P205" s="199">
        <v>7</v>
      </c>
      <c r="Q205" s="199">
        <v>8</v>
      </c>
      <c r="R205" s="199"/>
      <c r="S205" s="395">
        <v>9</v>
      </c>
      <c r="T205" s="395"/>
      <c r="U205" s="200">
        <v>10</v>
      </c>
      <c r="V205" s="199">
        <v>11</v>
      </c>
      <c r="W205" s="2">
        <v>12</v>
      </c>
      <c r="X205" s="2">
        <v>13</v>
      </c>
      <c r="Y205" s="199">
        <v>14</v>
      </c>
      <c r="Z205" s="309"/>
      <c r="AA205" s="309"/>
      <c r="AB205" s="309"/>
      <c r="AC205" s="309"/>
      <c r="AD205" s="309"/>
      <c r="AE205" s="309"/>
      <c r="AF205" s="309"/>
      <c r="AG205" s="309"/>
      <c r="AH205" s="309"/>
      <c r="AI205" s="309"/>
    </row>
    <row r="206" spans="1:25" s="250" customFormat="1" ht="12.75" customHeight="1">
      <c r="A206" s="310">
        <v>1</v>
      </c>
      <c r="B206" s="311" t="s">
        <v>38</v>
      </c>
      <c r="C206" s="141">
        <f>C207+C208+C209</f>
        <v>8884.3</v>
      </c>
      <c r="D206" s="312"/>
      <c r="E206" s="141">
        <f>E207+E208+E209</f>
        <v>0</v>
      </c>
      <c r="F206" s="141">
        <f>H206*J206/1000</f>
        <v>9252.73</v>
      </c>
      <c r="G206" s="141">
        <f>H206*J206/1000</f>
        <v>9252.73</v>
      </c>
      <c r="H206" s="264">
        <v>8864.3</v>
      </c>
      <c r="I206" s="264"/>
      <c r="J206" s="144">
        <v>1043.82</v>
      </c>
      <c r="K206" s="264">
        <f>K209</f>
        <v>8864.3</v>
      </c>
      <c r="L206" s="534"/>
      <c r="M206" s="535"/>
      <c r="N206" s="535"/>
      <c r="O206" s="536"/>
      <c r="P206" s="263">
        <v>952.08</v>
      </c>
      <c r="Q206" s="264">
        <f>P206/(J206+1E-101)*100-100</f>
        <v>-8.79</v>
      </c>
      <c r="R206" s="264"/>
      <c r="S206" s="263">
        <f>S199</f>
        <v>1005.18</v>
      </c>
      <c r="T206" s="263"/>
      <c r="U206" s="264">
        <f>S206/(P206+1E-101)*100-100</f>
        <v>5.58</v>
      </c>
      <c r="V206" s="264">
        <f>S206/(J206+1E-101)*100-100</f>
        <v>-3.7</v>
      </c>
      <c r="W206" s="89"/>
      <c r="X206" s="89"/>
      <c r="Y206" s="264">
        <f>S206*K206/1000</f>
        <v>8910.22</v>
      </c>
    </row>
    <row r="207" spans="1:25" s="394" customFormat="1" ht="12.75">
      <c r="A207" s="62"/>
      <c r="B207" s="313" t="s">
        <v>39</v>
      </c>
      <c r="C207" s="77"/>
      <c r="D207" s="127"/>
      <c r="E207" s="77"/>
      <c r="F207" s="141"/>
      <c r="G207" s="77">
        <f aca="true" t="shared" si="38" ref="G207:G215">H207*J207/1000</f>
        <v>0</v>
      </c>
      <c r="H207" s="396"/>
      <c r="I207" s="396"/>
      <c r="J207" s="99"/>
      <c r="K207" s="396"/>
      <c r="L207" s="537"/>
      <c r="M207" s="538"/>
      <c r="N207" s="538"/>
      <c r="O207" s="539"/>
      <c r="P207" s="263"/>
      <c r="Q207" s="276"/>
      <c r="R207" s="276"/>
      <c r="S207" s="260"/>
      <c r="T207" s="260"/>
      <c r="U207" s="276"/>
      <c r="V207" s="276"/>
      <c r="W207" s="91"/>
      <c r="X207" s="89"/>
      <c r="Y207" s="264"/>
    </row>
    <row r="208" spans="1:25" s="394" customFormat="1" ht="12.75">
      <c r="A208" s="62"/>
      <c r="B208" s="313" t="s">
        <v>103</v>
      </c>
      <c r="C208" s="77"/>
      <c r="D208" s="127"/>
      <c r="E208" s="77"/>
      <c r="F208" s="141"/>
      <c r="G208" s="77">
        <f t="shared" si="38"/>
        <v>0</v>
      </c>
      <c r="H208" s="396"/>
      <c r="I208" s="396"/>
      <c r="J208" s="99"/>
      <c r="K208" s="396"/>
      <c r="L208" s="537"/>
      <c r="M208" s="538"/>
      <c r="N208" s="538"/>
      <c r="O208" s="539"/>
      <c r="P208" s="263"/>
      <c r="Q208" s="276"/>
      <c r="R208" s="276"/>
      <c r="S208" s="260"/>
      <c r="T208" s="260"/>
      <c r="U208" s="276"/>
      <c r="V208" s="276"/>
      <c r="W208" s="91"/>
      <c r="X208" s="89"/>
      <c r="Y208" s="264"/>
    </row>
    <row r="209" spans="1:25" s="394" customFormat="1" ht="12.75">
      <c r="A209" s="62"/>
      <c r="B209" s="314" t="s">
        <v>40</v>
      </c>
      <c r="C209" s="77">
        <v>8884.3</v>
      </c>
      <c r="D209" s="127"/>
      <c r="E209" s="77"/>
      <c r="F209" s="77">
        <f aca="true" t="shared" si="39" ref="F209:F215">H209*J209/1000</f>
        <v>9252.73</v>
      </c>
      <c r="G209" s="77">
        <f t="shared" si="38"/>
        <v>9252.73</v>
      </c>
      <c r="H209" s="396">
        <f>H206</f>
        <v>8864.3</v>
      </c>
      <c r="I209" s="396"/>
      <c r="J209" s="99">
        <f>J206</f>
        <v>1043.82</v>
      </c>
      <c r="K209" s="396">
        <f>H209</f>
        <v>8864.3</v>
      </c>
      <c r="L209" s="537"/>
      <c r="M209" s="538"/>
      <c r="N209" s="538"/>
      <c r="O209" s="539"/>
      <c r="P209" s="260">
        <f>P206</f>
        <v>952.08</v>
      </c>
      <c r="Q209" s="276">
        <f aca="true" t="shared" si="40" ref="Q209:Q215">P209/(J209+1E-101)*100-100</f>
        <v>-8.79</v>
      </c>
      <c r="R209" s="276"/>
      <c r="S209" s="260">
        <f>S206</f>
        <v>1005.18</v>
      </c>
      <c r="T209" s="260"/>
      <c r="U209" s="276">
        <f>S209/(P209+1E-101)*100-100</f>
        <v>5.58</v>
      </c>
      <c r="V209" s="276">
        <f>S209/(J209+1E-101)*100-100</f>
        <v>-3.7</v>
      </c>
      <c r="W209" s="91"/>
      <c r="X209" s="89"/>
      <c r="Y209" s="264"/>
    </row>
    <row r="210" spans="1:25" s="250" customFormat="1" ht="12.75">
      <c r="A210" s="310">
        <v>2</v>
      </c>
      <c r="B210" s="311" t="s">
        <v>189</v>
      </c>
      <c r="C210" s="141"/>
      <c r="D210" s="312"/>
      <c r="E210" s="141">
        <f>E211+E212+E213</f>
        <v>0</v>
      </c>
      <c r="F210" s="141"/>
      <c r="G210" s="77">
        <f t="shared" si="38"/>
        <v>0</v>
      </c>
      <c r="H210" s="397"/>
      <c r="I210" s="397"/>
      <c r="J210" s="144"/>
      <c r="K210" s="397"/>
      <c r="L210" s="534"/>
      <c r="M210" s="535"/>
      <c r="N210" s="535"/>
      <c r="O210" s="536"/>
      <c r="P210" s="263"/>
      <c r="Q210" s="276"/>
      <c r="R210" s="276"/>
      <c r="S210" s="260"/>
      <c r="T210" s="260"/>
      <c r="U210" s="276"/>
      <c r="V210" s="276"/>
      <c r="W210" s="89"/>
      <c r="X210" s="89"/>
      <c r="Y210" s="264"/>
    </row>
    <row r="211" spans="1:25" s="394" customFormat="1" ht="12.75">
      <c r="A211" s="62" t="s">
        <v>190</v>
      </c>
      <c r="B211" s="314" t="s">
        <v>185</v>
      </c>
      <c r="C211" s="141">
        <f>C212+C213</f>
        <v>2893.9</v>
      </c>
      <c r="D211" s="312"/>
      <c r="E211" s="141"/>
      <c r="F211" s="141">
        <f t="shared" si="39"/>
        <v>1931.95</v>
      </c>
      <c r="G211" s="141">
        <f t="shared" si="38"/>
        <v>1931.95</v>
      </c>
      <c r="H211" s="398">
        <f>H212+H213</f>
        <v>2275.69</v>
      </c>
      <c r="I211" s="398"/>
      <c r="J211" s="144">
        <v>848.95</v>
      </c>
      <c r="K211" s="398">
        <f>K212+K213</f>
        <v>2275.69</v>
      </c>
      <c r="L211" s="534"/>
      <c r="M211" s="535"/>
      <c r="N211" s="535"/>
      <c r="O211" s="536"/>
      <c r="P211" s="263">
        <f>P209</f>
        <v>952.08</v>
      </c>
      <c r="Q211" s="264">
        <f t="shared" si="40"/>
        <v>12.15</v>
      </c>
      <c r="R211" s="264"/>
      <c r="S211" s="263">
        <f>S209</f>
        <v>1005.18</v>
      </c>
      <c r="T211" s="263"/>
      <c r="U211" s="264">
        <f>S211/(P211+1E-101)*100-100</f>
        <v>5.58</v>
      </c>
      <c r="V211" s="264">
        <f>S211/(J211+1E-101)*100-100</f>
        <v>18.4</v>
      </c>
      <c r="W211" s="89"/>
      <c r="X211" s="89"/>
      <c r="Y211" s="264">
        <f>S211*K211/1000</f>
        <v>2287.48</v>
      </c>
    </row>
    <row r="212" spans="1:25" s="394" customFormat="1" ht="12.75" customHeight="1">
      <c r="A212" s="62"/>
      <c r="B212" s="314" t="s">
        <v>186</v>
      </c>
      <c r="C212" s="77">
        <v>2501.8</v>
      </c>
      <c r="D212" s="127"/>
      <c r="E212" s="77"/>
      <c r="F212" s="77">
        <f t="shared" si="39"/>
        <v>1570.18</v>
      </c>
      <c r="G212" s="77">
        <f t="shared" si="38"/>
        <v>1570.18</v>
      </c>
      <c r="H212" s="396">
        <v>1849.56</v>
      </c>
      <c r="I212" s="396"/>
      <c r="J212" s="99">
        <f>J211</f>
        <v>848.95</v>
      </c>
      <c r="K212" s="396">
        <f>H212</f>
        <v>1849.56</v>
      </c>
      <c r="L212" s="537"/>
      <c r="M212" s="538"/>
      <c r="N212" s="538"/>
      <c r="O212" s="539"/>
      <c r="P212" s="260">
        <f>P211</f>
        <v>952.08</v>
      </c>
      <c r="Q212" s="276">
        <f t="shared" si="40"/>
        <v>12.15</v>
      </c>
      <c r="R212" s="276"/>
      <c r="S212" s="260">
        <f>S211</f>
        <v>1005.18</v>
      </c>
      <c r="T212" s="260"/>
      <c r="U212" s="276">
        <f>S212/(P212+1E-101)*100-100</f>
        <v>5.58</v>
      </c>
      <c r="V212" s="276">
        <f>S212/(J212+1E-101)*100-100</f>
        <v>18.4</v>
      </c>
      <c r="W212" s="91"/>
      <c r="X212" s="89"/>
      <c r="Y212" s="264"/>
    </row>
    <row r="213" spans="1:25" s="394" customFormat="1" ht="12.75">
      <c r="A213" s="62"/>
      <c r="B213" s="314" t="s">
        <v>187</v>
      </c>
      <c r="C213" s="77">
        <v>392.1</v>
      </c>
      <c r="D213" s="127"/>
      <c r="E213" s="77"/>
      <c r="F213" s="77">
        <f t="shared" si="39"/>
        <v>361.76</v>
      </c>
      <c r="G213" s="77">
        <f t="shared" si="38"/>
        <v>361.76</v>
      </c>
      <c r="H213" s="396">
        <v>426.13</v>
      </c>
      <c r="I213" s="396"/>
      <c r="J213" s="99">
        <f>J212</f>
        <v>848.95</v>
      </c>
      <c r="K213" s="396">
        <f>H213</f>
        <v>426.13</v>
      </c>
      <c r="L213" s="537"/>
      <c r="M213" s="538"/>
      <c r="N213" s="538"/>
      <c r="O213" s="539"/>
      <c r="P213" s="260">
        <f>P212</f>
        <v>952.08</v>
      </c>
      <c r="Q213" s="276">
        <f t="shared" si="40"/>
        <v>12.15</v>
      </c>
      <c r="R213" s="276"/>
      <c r="S213" s="260">
        <f>S212</f>
        <v>1005.18</v>
      </c>
      <c r="T213" s="260"/>
      <c r="U213" s="276">
        <f>S213/(P213+1E-101)*100-100</f>
        <v>5.58</v>
      </c>
      <c r="V213" s="276">
        <f>S213/(J213+1E-101)*100-100</f>
        <v>18.4</v>
      </c>
      <c r="W213" s="91"/>
      <c r="X213" s="89"/>
      <c r="Y213" s="264"/>
    </row>
    <row r="214" spans="1:25" s="394" customFormat="1" ht="15" customHeight="1">
      <c r="A214" s="72" t="s">
        <v>191</v>
      </c>
      <c r="B214" s="314" t="s">
        <v>184</v>
      </c>
      <c r="C214" s="77"/>
      <c r="D214" s="127"/>
      <c r="E214" s="77"/>
      <c r="F214" s="77"/>
      <c r="G214" s="77">
        <f t="shared" si="38"/>
        <v>0</v>
      </c>
      <c r="H214" s="396"/>
      <c r="I214" s="396"/>
      <c r="J214" s="99"/>
      <c r="K214" s="396"/>
      <c r="L214" s="537"/>
      <c r="M214" s="538"/>
      <c r="N214" s="538"/>
      <c r="O214" s="539"/>
      <c r="P214" s="263"/>
      <c r="Q214" s="276"/>
      <c r="R214" s="276"/>
      <c r="S214" s="260"/>
      <c r="T214" s="260"/>
      <c r="U214" s="276"/>
      <c r="V214" s="276"/>
      <c r="W214" s="91"/>
      <c r="X214" s="89"/>
      <c r="Y214" s="264"/>
    </row>
    <row r="215" spans="1:25" s="394" customFormat="1" ht="12.75" customHeight="1">
      <c r="A215" s="175" t="s">
        <v>192</v>
      </c>
      <c r="B215" s="314" t="s">
        <v>22</v>
      </c>
      <c r="C215" s="141">
        <v>26.3</v>
      </c>
      <c r="D215" s="312"/>
      <c r="E215" s="141"/>
      <c r="F215" s="141">
        <f t="shared" si="39"/>
        <v>27.45</v>
      </c>
      <c r="G215" s="141">
        <f t="shared" si="38"/>
        <v>27.45</v>
      </c>
      <c r="H215" s="399">
        <f>H217-H206-H211</f>
        <v>26.3</v>
      </c>
      <c r="I215" s="399"/>
      <c r="J215" s="144">
        <f>J206</f>
        <v>1043.82</v>
      </c>
      <c r="K215" s="399">
        <f>H215</f>
        <v>26.3</v>
      </c>
      <c r="L215" s="534"/>
      <c r="M215" s="535"/>
      <c r="N215" s="535"/>
      <c r="O215" s="536"/>
      <c r="P215" s="263">
        <f>P206</f>
        <v>952.08</v>
      </c>
      <c r="Q215" s="264">
        <f t="shared" si="40"/>
        <v>-8.79</v>
      </c>
      <c r="R215" s="264"/>
      <c r="S215" s="263">
        <f>S206</f>
        <v>1005.18</v>
      </c>
      <c r="T215" s="263"/>
      <c r="U215" s="264">
        <f>S215/(P215+1E-101)*100-100</f>
        <v>5.58</v>
      </c>
      <c r="V215" s="264">
        <f>S215/(J215+1E-101)*100-100</f>
        <v>-3.7</v>
      </c>
      <c r="W215" s="89"/>
      <c r="X215" s="89"/>
      <c r="Y215" s="264">
        <f>S215*K215/1000</f>
        <v>26.44</v>
      </c>
    </row>
    <row r="216" spans="1:25" s="250" customFormat="1" ht="25.5">
      <c r="A216" s="315">
        <v>3</v>
      </c>
      <c r="B216" s="311" t="s">
        <v>25</v>
      </c>
      <c r="C216" s="141"/>
      <c r="D216" s="312"/>
      <c r="E216" s="141"/>
      <c r="F216" s="141"/>
      <c r="G216" s="141"/>
      <c r="H216" s="400"/>
      <c r="I216" s="400"/>
      <c r="J216" s="144"/>
      <c r="K216" s="400"/>
      <c r="L216" s="534"/>
      <c r="M216" s="535"/>
      <c r="N216" s="535"/>
      <c r="O216" s="536"/>
      <c r="P216" s="263"/>
      <c r="Q216" s="207"/>
      <c r="R216" s="207"/>
      <c r="S216" s="263"/>
      <c r="T216" s="263"/>
      <c r="U216" s="276"/>
      <c r="V216" s="276"/>
      <c r="W216" s="89"/>
      <c r="X216" s="89"/>
      <c r="Y216" s="276"/>
    </row>
    <row r="217" spans="1:25" s="394" customFormat="1" ht="15.75" customHeight="1">
      <c r="A217" s="1"/>
      <c r="B217" s="316" t="s">
        <v>41</v>
      </c>
      <c r="C217" s="122">
        <f>C206+C211+C214+C215+C216</f>
        <v>11804.5</v>
      </c>
      <c r="D217" s="122">
        <f>D206+D211+D214+D215+D216</f>
        <v>0</v>
      </c>
      <c r="E217" s="122">
        <f>E206+E211+E214+E215+E216</f>
        <v>0</v>
      </c>
      <c r="F217" s="122">
        <f>F206+F211+F214+F215+F216</f>
        <v>11212.13</v>
      </c>
      <c r="G217" s="317">
        <f>G206+G210+G214+G215+G216</f>
        <v>9280.2</v>
      </c>
      <c r="H217" s="122">
        <f>P24</f>
        <v>11166.29</v>
      </c>
      <c r="I217" s="122"/>
      <c r="J217" s="112">
        <f>H199</f>
        <v>898.35</v>
      </c>
      <c r="K217" s="122">
        <f>K206+K211+K214+K215+K216</f>
        <v>11166.29</v>
      </c>
      <c r="L217" s="511" t="e">
        <f>L199</f>
        <v>#REF!</v>
      </c>
      <c r="M217" s="512"/>
      <c r="N217" s="512"/>
      <c r="O217" s="513"/>
      <c r="P217" s="401">
        <f>P199</f>
        <v>952.08</v>
      </c>
      <c r="Q217" s="207">
        <f>P217/(J217+1E-101)*100-100</f>
        <v>6</v>
      </c>
      <c r="R217" s="207"/>
      <c r="S217" s="401">
        <f>S199</f>
        <v>1005.18</v>
      </c>
      <c r="T217" s="401"/>
      <c r="U217" s="264">
        <f>S217/(P217+1E-101)*100-100</f>
        <v>5.58</v>
      </c>
      <c r="V217" s="264">
        <f>S217/(J217+1E-101)*100-100</f>
        <v>11.89</v>
      </c>
      <c r="W217" s="207">
        <f>X217-X218</f>
        <v>0</v>
      </c>
      <c r="X217" s="122"/>
      <c r="Y217" s="122">
        <f>Y206+Y211+Y214+Y215+Y216</f>
        <v>11224.14</v>
      </c>
    </row>
    <row r="218" spans="1:25" s="394" customFormat="1" ht="15.75" customHeight="1">
      <c r="A218" s="402"/>
      <c r="B218" s="403"/>
      <c r="C218" s="404"/>
      <c r="D218" s="404"/>
      <c r="E218" s="404"/>
      <c r="F218" s="404"/>
      <c r="G218" s="405"/>
      <c r="H218" s="404"/>
      <c r="I218" s="404"/>
      <c r="J218" s="406"/>
      <c r="K218" s="404"/>
      <c r="L218" s="407"/>
      <c r="M218" s="407"/>
      <c r="N218" s="407"/>
      <c r="O218" s="407"/>
      <c r="P218" s="411"/>
      <c r="Q218" s="412"/>
      <c r="R218" s="412"/>
      <c r="S218" s="411"/>
      <c r="T218" s="411"/>
      <c r="U218" s="409"/>
      <c r="V218" s="409"/>
      <c r="W218" s="408"/>
      <c r="X218" s="410"/>
      <c r="Y218" s="404"/>
    </row>
    <row r="219" spans="1:25" ht="36.75" customHeight="1">
      <c r="A219" s="514" t="s">
        <v>231</v>
      </c>
      <c r="B219" s="514"/>
      <c r="C219" s="514"/>
      <c r="D219" s="514"/>
      <c r="E219" s="514"/>
      <c r="F219" s="514"/>
      <c r="G219" s="514"/>
      <c r="H219" s="514"/>
      <c r="I219" s="514"/>
      <c r="J219" s="514"/>
      <c r="K219" s="514"/>
      <c r="L219" s="514"/>
      <c r="M219" s="514"/>
      <c r="N219" s="514"/>
      <c r="O219" s="514"/>
      <c r="P219" s="514"/>
      <c r="Q219" s="514"/>
      <c r="R219" s="514"/>
      <c r="S219" s="514"/>
      <c r="T219" s="514"/>
      <c r="U219" s="514"/>
      <c r="V219" s="514"/>
      <c r="W219" s="514"/>
      <c r="X219" s="514"/>
      <c r="Y219" s="514"/>
    </row>
    <row r="220" spans="1:25" ht="51.75" customHeight="1">
      <c r="A220" s="515" t="s">
        <v>70</v>
      </c>
      <c r="B220" s="515"/>
      <c r="C220" s="515"/>
      <c r="D220" s="515"/>
      <c r="E220" s="515"/>
      <c r="F220" s="515"/>
      <c r="G220" s="515"/>
      <c r="H220" s="515"/>
      <c r="I220" s="515"/>
      <c r="J220" s="515"/>
      <c r="K220" s="319"/>
      <c r="L220" s="320"/>
      <c r="M220" s="321"/>
      <c r="N220" s="465" t="s">
        <v>115</v>
      </c>
      <c r="O220" s="465"/>
      <c r="P220" s="465"/>
      <c r="Q220" s="465"/>
      <c r="R220" s="465"/>
      <c r="S220" s="465"/>
      <c r="T220" s="465"/>
      <c r="U220" s="465"/>
      <c r="V220" s="465"/>
      <c r="W220" s="465"/>
      <c r="X220" s="465"/>
      <c r="Y220" s="465"/>
    </row>
    <row r="221" spans="1:25" ht="9.75" customHeight="1">
      <c r="A221" s="318"/>
      <c r="B221" s="173"/>
      <c r="C221" s="173"/>
      <c r="D221" s="173"/>
      <c r="E221" s="173"/>
      <c r="F221" s="173"/>
      <c r="G221" s="173"/>
      <c r="H221" s="322"/>
      <c r="I221" s="322"/>
      <c r="J221" s="323"/>
      <c r="K221" s="319"/>
      <c r="L221" s="320"/>
      <c r="M221" s="321"/>
      <c r="N221" s="168"/>
      <c r="O221" s="168"/>
      <c r="P221" s="415"/>
      <c r="Q221" s="415"/>
      <c r="R221" s="415"/>
      <c r="S221" s="415"/>
      <c r="T221" s="415"/>
      <c r="U221" s="416"/>
      <c r="V221" s="415"/>
      <c r="W221" s="415"/>
      <c r="X221" s="415"/>
      <c r="Y221" s="168"/>
    </row>
    <row r="222" spans="1:25" ht="6.75" customHeight="1" hidden="1">
      <c r="A222" s="326"/>
      <c r="B222" s="326"/>
      <c r="C222" s="173"/>
      <c r="D222" s="173"/>
      <c r="E222" s="173"/>
      <c r="F222" s="173"/>
      <c r="G222" s="173"/>
      <c r="H222" s="320"/>
      <c r="I222" s="320"/>
      <c r="J222" s="327"/>
      <c r="K222" s="328"/>
      <c r="L222" s="320"/>
      <c r="M222" s="321"/>
      <c r="N222" s="329"/>
      <c r="O222" s="329"/>
      <c r="P222" s="324"/>
      <c r="Q222" s="324"/>
      <c r="R222" s="324"/>
      <c r="S222" s="324"/>
      <c r="T222" s="324"/>
      <c r="U222" s="325"/>
      <c r="V222" s="324"/>
      <c r="W222" s="324"/>
      <c r="X222" s="324"/>
      <c r="Y222" s="329"/>
    </row>
    <row r="223" spans="1:25" ht="24" customHeight="1">
      <c r="A223" s="515" t="s">
        <v>71</v>
      </c>
      <c r="B223" s="515"/>
      <c r="C223" s="515"/>
      <c r="D223" s="515"/>
      <c r="E223" s="515"/>
      <c r="F223" s="318"/>
      <c r="G223" s="318"/>
      <c r="H223" s="320"/>
      <c r="I223" s="320"/>
      <c r="J223" s="320"/>
      <c r="K223" s="320"/>
      <c r="L223" s="320"/>
      <c r="M223" s="321"/>
      <c r="N223" s="466" t="s">
        <v>116</v>
      </c>
      <c r="O223" s="466"/>
      <c r="P223" s="466"/>
      <c r="Q223" s="466"/>
      <c r="R223" s="466"/>
      <c r="S223" s="466"/>
      <c r="T223" s="466"/>
      <c r="U223" s="466"/>
      <c r="V223" s="466"/>
      <c r="W223" s="466"/>
      <c r="X223" s="466"/>
      <c r="Y223" s="466"/>
    </row>
    <row r="224" spans="1:25" ht="18" customHeight="1">
      <c r="A224" s="318"/>
      <c r="B224" s="173"/>
      <c r="C224" s="173"/>
      <c r="D224" s="173"/>
      <c r="E224" s="173"/>
      <c r="F224" s="173"/>
      <c r="G224" s="173"/>
      <c r="H224" s="320"/>
      <c r="I224" s="320"/>
      <c r="J224" s="330"/>
      <c r="K224" s="320"/>
      <c r="L224" s="320"/>
      <c r="M224" s="321"/>
      <c r="N224" s="170"/>
      <c r="O224" s="170"/>
      <c r="P224" s="324"/>
      <c r="Q224" s="324"/>
      <c r="R224" s="324"/>
      <c r="S224" s="324"/>
      <c r="T224" s="324"/>
      <c r="U224" s="325"/>
      <c r="V224" s="324"/>
      <c r="W224" s="324"/>
      <c r="X224" s="324"/>
      <c r="Y224" s="170"/>
    </row>
    <row r="225" spans="1:25" ht="15" customHeight="1" hidden="1">
      <c r="A225" s="318"/>
      <c r="B225" s="173"/>
      <c r="C225" s="173"/>
      <c r="D225" s="331"/>
      <c r="E225" s="331"/>
      <c r="F225" s="331"/>
      <c r="G225" s="331"/>
      <c r="H225" s="320"/>
      <c r="I225" s="320"/>
      <c r="J225" s="330"/>
      <c r="K225" s="321"/>
      <c r="L225" s="332"/>
      <c r="M225" s="332"/>
      <c r="N225" s="170"/>
      <c r="O225" s="333"/>
      <c r="P225" s="324"/>
      <c r="Q225" s="324"/>
      <c r="R225" s="324"/>
      <c r="S225" s="324"/>
      <c r="T225" s="324"/>
      <c r="U225" s="325"/>
      <c r="V225" s="324"/>
      <c r="W225" s="324"/>
      <c r="X225" s="324"/>
      <c r="Y225" s="333"/>
    </row>
    <row r="226" spans="1:25" ht="15.75" customHeight="1" hidden="1">
      <c r="A226" s="318"/>
      <c r="B226" s="173"/>
      <c r="C226" s="173"/>
      <c r="D226" s="331"/>
      <c r="E226" s="331"/>
      <c r="F226" s="331"/>
      <c r="G226" s="331"/>
      <c r="H226" s="320"/>
      <c r="I226" s="320"/>
      <c r="J226" s="330"/>
      <c r="K226" s="321"/>
      <c r="L226" s="332"/>
      <c r="M226" s="332"/>
      <c r="N226" s="170"/>
      <c r="O226" s="333"/>
      <c r="P226" s="324"/>
      <c r="Q226" s="324"/>
      <c r="R226" s="324"/>
      <c r="S226" s="324"/>
      <c r="T226" s="324"/>
      <c r="U226" s="325"/>
      <c r="V226" s="324"/>
      <c r="W226" s="324"/>
      <c r="X226" s="324"/>
      <c r="Y226" s="333"/>
    </row>
    <row r="227" spans="1:25" ht="68.25" customHeight="1">
      <c r="A227" s="515" t="s">
        <v>224</v>
      </c>
      <c r="B227" s="515"/>
      <c r="C227" s="515"/>
      <c r="D227" s="515"/>
      <c r="E227" s="515"/>
      <c r="F227" s="318"/>
      <c r="G227" s="318"/>
      <c r="H227" s="328"/>
      <c r="I227" s="328"/>
      <c r="J227" s="330"/>
      <c r="K227" s="334"/>
      <c r="L227" s="334"/>
      <c r="M227" s="334"/>
      <c r="N227" s="335"/>
      <c r="O227" s="541" t="s">
        <v>225</v>
      </c>
      <c r="P227" s="541"/>
      <c r="Q227" s="541"/>
      <c r="R227" s="541"/>
      <c r="S227" s="541"/>
      <c r="T227" s="541"/>
      <c r="U227" s="541"/>
      <c r="V227" s="541"/>
      <c r="W227" s="541"/>
      <c r="X227" s="541"/>
      <c r="Y227" s="541"/>
    </row>
    <row r="228" spans="1:25" ht="22.5" customHeight="1">
      <c r="A228" s="173"/>
      <c r="B228" s="173"/>
      <c r="C228" s="173"/>
      <c r="D228" s="173"/>
      <c r="E228" s="18"/>
      <c r="F228" s="18"/>
      <c r="G228" s="18"/>
      <c r="H228" s="22"/>
      <c r="I228" s="22"/>
      <c r="J228" s="336"/>
      <c r="K228"/>
      <c r="L228"/>
      <c r="M228"/>
      <c r="N228"/>
      <c r="O228"/>
      <c r="Y228"/>
    </row>
    <row r="229" spans="1:25" ht="205.5" customHeight="1" hidden="1">
      <c r="A229" s="171"/>
      <c r="B229" s="29"/>
      <c r="C229" s="174"/>
      <c r="D229" s="18"/>
      <c r="E229" s="30"/>
      <c r="F229" s="30"/>
      <c r="G229" s="30"/>
      <c r="H229" s="30"/>
      <c r="I229" s="30"/>
      <c r="J229" s="336"/>
      <c r="K229"/>
      <c r="L229"/>
      <c r="M229"/>
      <c r="N229"/>
      <c r="O229"/>
      <c r="Y229"/>
    </row>
    <row r="230" spans="1:25" ht="12.75" hidden="1">
      <c r="A230" s="66"/>
      <c r="B230" s="66"/>
      <c r="C230" s="66"/>
      <c r="D230" s="67"/>
      <c r="E230" s="67"/>
      <c r="F230" s="67"/>
      <c r="G230" s="67"/>
      <c r="H230" s="67"/>
      <c r="I230" s="67"/>
      <c r="J230" s="338"/>
      <c r="K230" s="65"/>
      <c r="L230"/>
      <c r="M230"/>
      <c r="N230"/>
      <c r="O230"/>
      <c r="Y230"/>
    </row>
    <row r="231" spans="1:25" ht="12.75" hidden="1">
      <c r="A231" s="65"/>
      <c r="B231" s="66"/>
      <c r="C231" s="66"/>
      <c r="D231" s="66"/>
      <c r="E231" s="66"/>
      <c r="F231" s="66"/>
      <c r="G231" s="66"/>
      <c r="H231" s="67"/>
      <c r="I231" s="67"/>
      <c r="J231" s="338"/>
      <c r="K231" s="67"/>
      <c r="L231" s="67"/>
      <c r="M231" s="65"/>
      <c r="N231"/>
      <c r="O231"/>
      <c r="Y231"/>
    </row>
    <row r="232" spans="1:25" ht="321.75" customHeight="1">
      <c r="A232" s="65"/>
      <c r="B232" s="66"/>
      <c r="C232" s="66"/>
      <c r="D232" s="66"/>
      <c r="E232" s="66"/>
      <c r="F232" s="66"/>
      <c r="G232" s="66"/>
      <c r="H232" s="67"/>
      <c r="I232" s="67"/>
      <c r="J232" s="338"/>
      <c r="K232" s="67"/>
      <c r="L232" s="67"/>
      <c r="M232" s="65"/>
      <c r="N232"/>
      <c r="O232"/>
      <c r="Y232"/>
    </row>
    <row r="233" spans="1:26" ht="43.5" customHeight="1">
      <c r="A233" s="542" t="s">
        <v>226</v>
      </c>
      <c r="B233" s="542"/>
      <c r="C233" s="542"/>
      <c r="D233" s="542"/>
      <c r="E233" s="542"/>
      <c r="F233" s="542"/>
      <c r="G233" s="542"/>
      <c r="H233" s="542"/>
      <c r="I233" s="542"/>
      <c r="J233" s="542"/>
      <c r="K233" s="542"/>
      <c r="L233" s="542"/>
      <c r="M233" s="542"/>
      <c r="N233" s="542"/>
      <c r="O233" s="542"/>
      <c r="P233" s="542"/>
      <c r="Q233" s="542"/>
      <c r="R233" s="542"/>
      <c r="S233" s="542"/>
      <c r="T233" s="542"/>
      <c r="U233" s="542"/>
      <c r="V233" s="542"/>
      <c r="W233" s="542"/>
      <c r="X233" s="542"/>
      <c r="Y233" s="66"/>
      <c r="Z233" s="65"/>
    </row>
    <row r="234" spans="1:26" ht="12.75" hidden="1">
      <c r="A234" s="65"/>
      <c r="B234" s="66"/>
      <c r="C234" s="66"/>
      <c r="D234" s="66"/>
      <c r="E234" s="66"/>
      <c r="F234" s="66"/>
      <c r="G234" s="66"/>
      <c r="H234" s="67"/>
      <c r="I234" s="67"/>
      <c r="J234" s="338"/>
      <c r="K234" s="67"/>
      <c r="L234" s="67"/>
      <c r="M234" s="66"/>
      <c r="N234" s="66"/>
      <c r="O234" s="66"/>
      <c r="Y234" s="66"/>
      <c r="Z234" s="65"/>
    </row>
    <row r="235" spans="1:35" ht="142.5" customHeight="1">
      <c r="A235" s="75"/>
      <c r="B235" s="73" t="s">
        <v>21</v>
      </c>
      <c r="C235" s="78" t="s">
        <v>148</v>
      </c>
      <c r="D235" s="78" t="s">
        <v>149</v>
      </c>
      <c r="E235" s="78" t="s">
        <v>151</v>
      </c>
      <c r="F235" s="78"/>
      <c r="G235" s="78"/>
      <c r="H235" s="78" t="s">
        <v>149</v>
      </c>
      <c r="I235" s="78"/>
      <c r="J235" s="363" t="s">
        <v>151</v>
      </c>
      <c r="K235" s="78" t="s">
        <v>140</v>
      </c>
      <c r="L235" s="78" t="s">
        <v>153</v>
      </c>
      <c r="M235" s="78" t="s">
        <v>150</v>
      </c>
      <c r="N235" s="78" t="s">
        <v>181</v>
      </c>
      <c r="O235" s="79" t="s">
        <v>152</v>
      </c>
      <c r="P235" s="78" t="s">
        <v>153</v>
      </c>
      <c r="Q235" s="78" t="s">
        <v>150</v>
      </c>
      <c r="R235" s="78"/>
      <c r="S235" s="78" t="s">
        <v>181</v>
      </c>
      <c r="T235" s="78"/>
      <c r="U235" s="79" t="s">
        <v>152</v>
      </c>
      <c r="V235" s="78" t="s">
        <v>141</v>
      </c>
      <c r="W235" s="501" t="s">
        <v>180</v>
      </c>
      <c r="X235" s="501"/>
      <c r="Y235" s="339"/>
      <c r="Z235" s="339"/>
      <c r="AA235" s="339"/>
      <c r="AB235" s="339"/>
      <c r="AC235" s="339"/>
      <c r="AD235" s="339"/>
      <c r="AE235" s="339"/>
      <c r="AF235" s="339"/>
      <c r="AG235" s="540"/>
      <c r="AH235" s="540"/>
      <c r="AI235" s="340"/>
    </row>
    <row r="236" spans="1:35" ht="12.75">
      <c r="A236" s="2">
        <v>1</v>
      </c>
      <c r="B236" s="81">
        <v>2</v>
      </c>
      <c r="C236" s="81">
        <v>3</v>
      </c>
      <c r="D236" s="81">
        <v>4</v>
      </c>
      <c r="E236" s="81">
        <v>5</v>
      </c>
      <c r="F236" s="81"/>
      <c r="G236" s="81"/>
      <c r="H236" s="81">
        <v>4</v>
      </c>
      <c r="I236" s="81"/>
      <c r="J236" s="381">
        <v>5</v>
      </c>
      <c r="K236" s="81">
        <v>6</v>
      </c>
      <c r="L236" s="81">
        <v>7</v>
      </c>
      <c r="M236" s="81">
        <v>8</v>
      </c>
      <c r="N236" s="81">
        <v>9</v>
      </c>
      <c r="O236" s="82">
        <v>10</v>
      </c>
      <c r="P236" s="81">
        <v>7</v>
      </c>
      <c r="Q236" s="81">
        <v>8</v>
      </c>
      <c r="R236" s="81"/>
      <c r="S236" s="81">
        <v>9</v>
      </c>
      <c r="T236" s="81"/>
      <c r="U236" s="82">
        <v>10</v>
      </c>
      <c r="V236" s="82">
        <v>11</v>
      </c>
      <c r="W236" s="505">
        <v>12</v>
      </c>
      <c r="X236" s="505"/>
      <c r="Y236" s="341"/>
      <c r="Z236" s="341"/>
      <c r="AA236" s="341"/>
      <c r="AB236" s="341"/>
      <c r="AC236" s="341"/>
      <c r="AD236" s="341"/>
      <c r="AE236" s="341"/>
      <c r="AF236" s="341"/>
      <c r="AG236" s="543"/>
      <c r="AH236" s="543"/>
      <c r="AI236" s="340"/>
    </row>
    <row r="237" spans="1:35" ht="26.25">
      <c r="A237" s="72">
        <v>1</v>
      </c>
      <c r="B237" s="71" t="s">
        <v>38</v>
      </c>
      <c r="C237" s="68" t="s">
        <v>143</v>
      </c>
      <c r="D237" s="68" t="s">
        <v>143</v>
      </c>
      <c r="E237" s="68" t="s">
        <v>143</v>
      </c>
      <c r="F237" s="68"/>
      <c r="G237" s="68"/>
      <c r="H237" s="68" t="s">
        <v>143</v>
      </c>
      <c r="I237" s="68"/>
      <c r="J237" s="342" t="s">
        <v>143</v>
      </c>
      <c r="K237" s="68" t="s">
        <v>143</v>
      </c>
      <c r="L237" s="68" t="s">
        <v>143</v>
      </c>
      <c r="M237" s="68" t="s">
        <v>143</v>
      </c>
      <c r="N237" s="68" t="s">
        <v>143</v>
      </c>
      <c r="O237" s="68" t="s">
        <v>143</v>
      </c>
      <c r="P237" s="68" t="s">
        <v>143</v>
      </c>
      <c r="Q237" s="68" t="s">
        <v>143</v>
      </c>
      <c r="R237" s="68"/>
      <c r="S237" s="68" t="s">
        <v>143</v>
      </c>
      <c r="T237" s="68"/>
      <c r="U237" s="68" t="s">
        <v>143</v>
      </c>
      <c r="V237" s="68" t="s">
        <v>143</v>
      </c>
      <c r="W237" s="500">
        <v>8864.3</v>
      </c>
      <c r="X237" s="500"/>
      <c r="Y237" s="343"/>
      <c r="Z237" s="343"/>
      <c r="AA237" s="343"/>
      <c r="AB237" s="343"/>
      <c r="AC237" s="343"/>
      <c r="AD237" s="343"/>
      <c r="AE237" s="343"/>
      <c r="AF237" s="343"/>
      <c r="AG237" s="508"/>
      <c r="AH237" s="508"/>
      <c r="AI237" s="340"/>
    </row>
    <row r="238" spans="1:35" ht="12.75">
      <c r="A238" s="72"/>
      <c r="B238" s="73" t="s">
        <v>39</v>
      </c>
      <c r="C238" s="68" t="s">
        <v>143</v>
      </c>
      <c r="D238" s="68" t="s">
        <v>143</v>
      </c>
      <c r="E238" s="68" t="s">
        <v>143</v>
      </c>
      <c r="F238" s="68"/>
      <c r="G238" s="68"/>
      <c r="H238" s="68" t="s">
        <v>143</v>
      </c>
      <c r="I238" s="68"/>
      <c r="J238" s="342" t="s">
        <v>143</v>
      </c>
      <c r="K238" s="68" t="s">
        <v>143</v>
      </c>
      <c r="L238" s="68" t="s">
        <v>143</v>
      </c>
      <c r="M238" s="68" t="s">
        <v>143</v>
      </c>
      <c r="N238" s="68" t="s">
        <v>143</v>
      </c>
      <c r="O238" s="68" t="s">
        <v>143</v>
      </c>
      <c r="P238" s="68" t="s">
        <v>143</v>
      </c>
      <c r="Q238" s="68" t="s">
        <v>143</v>
      </c>
      <c r="R238" s="68"/>
      <c r="S238" s="68" t="s">
        <v>143</v>
      </c>
      <c r="T238" s="68"/>
      <c r="U238" s="68" t="s">
        <v>143</v>
      </c>
      <c r="V238" s="68" t="s">
        <v>143</v>
      </c>
      <c r="W238" s="502"/>
      <c r="X238" s="502"/>
      <c r="Y238" s="343"/>
      <c r="Z238" s="343"/>
      <c r="AA238" s="343"/>
      <c r="AB238" s="343"/>
      <c r="AC238" s="343"/>
      <c r="AD238" s="343"/>
      <c r="AE238" s="343"/>
      <c r="AF238" s="343"/>
      <c r="AG238" s="510"/>
      <c r="AH238" s="510"/>
      <c r="AI238" s="340"/>
    </row>
    <row r="239" spans="1:35" ht="12.75">
      <c r="A239" s="72"/>
      <c r="B239" s="73" t="s">
        <v>103</v>
      </c>
      <c r="C239" s="68" t="s">
        <v>143</v>
      </c>
      <c r="D239" s="68" t="s">
        <v>143</v>
      </c>
      <c r="E239" s="68" t="s">
        <v>143</v>
      </c>
      <c r="F239" s="68"/>
      <c r="G239" s="68"/>
      <c r="H239" s="68" t="s">
        <v>143</v>
      </c>
      <c r="I239" s="68"/>
      <c r="J239" s="342" t="s">
        <v>143</v>
      </c>
      <c r="K239" s="68" t="s">
        <v>143</v>
      </c>
      <c r="L239" s="68" t="s">
        <v>143</v>
      </c>
      <c r="M239" s="68" t="s">
        <v>143</v>
      </c>
      <c r="N239" s="68" t="s">
        <v>143</v>
      </c>
      <c r="O239" s="68" t="s">
        <v>143</v>
      </c>
      <c r="P239" s="68" t="s">
        <v>143</v>
      </c>
      <c r="Q239" s="68" t="s">
        <v>143</v>
      </c>
      <c r="R239" s="68"/>
      <c r="S239" s="68" t="s">
        <v>143</v>
      </c>
      <c r="T239" s="68"/>
      <c r="U239" s="68" t="s">
        <v>143</v>
      </c>
      <c r="V239" s="68" t="s">
        <v>143</v>
      </c>
      <c r="W239" s="502"/>
      <c r="X239" s="502"/>
      <c r="Y239" s="343"/>
      <c r="Z239" s="343"/>
      <c r="AA239" s="343"/>
      <c r="AB239" s="343"/>
      <c r="AC239" s="343"/>
      <c r="AD239" s="343"/>
      <c r="AE239" s="343"/>
      <c r="AF239" s="343"/>
      <c r="AG239" s="510"/>
      <c r="AH239" s="510"/>
      <c r="AI239" s="340"/>
    </row>
    <row r="240" spans="1:35" ht="12.75">
      <c r="A240" s="72"/>
      <c r="B240" s="71" t="s">
        <v>40</v>
      </c>
      <c r="C240" s="68" t="s">
        <v>143</v>
      </c>
      <c r="D240" s="68" t="s">
        <v>143</v>
      </c>
      <c r="E240" s="68" t="s">
        <v>143</v>
      </c>
      <c r="F240" s="68"/>
      <c r="G240" s="68"/>
      <c r="H240" s="68" t="s">
        <v>143</v>
      </c>
      <c r="I240" s="68"/>
      <c r="J240" s="342" t="s">
        <v>143</v>
      </c>
      <c r="K240" s="68" t="s">
        <v>143</v>
      </c>
      <c r="L240" s="68" t="s">
        <v>143</v>
      </c>
      <c r="M240" s="68" t="s">
        <v>143</v>
      </c>
      <c r="N240" s="68" t="s">
        <v>143</v>
      </c>
      <c r="O240" s="68" t="s">
        <v>143</v>
      </c>
      <c r="P240" s="68" t="s">
        <v>143</v>
      </c>
      <c r="Q240" s="68" t="s">
        <v>143</v>
      </c>
      <c r="R240" s="68"/>
      <c r="S240" s="68" t="s">
        <v>143</v>
      </c>
      <c r="T240" s="68"/>
      <c r="U240" s="68" t="s">
        <v>143</v>
      </c>
      <c r="V240" s="68" t="s">
        <v>143</v>
      </c>
      <c r="W240" s="502"/>
      <c r="X240" s="502"/>
      <c r="Y240" s="343"/>
      <c r="Z240" s="343"/>
      <c r="AA240" s="343"/>
      <c r="AB240" s="343"/>
      <c r="AC240" s="343"/>
      <c r="AD240" s="343"/>
      <c r="AE240" s="343"/>
      <c r="AF240" s="343"/>
      <c r="AG240" s="510"/>
      <c r="AH240" s="510"/>
      <c r="AI240" s="340"/>
    </row>
    <row r="241" spans="1:35" ht="39">
      <c r="A241" s="62">
        <v>2</v>
      </c>
      <c r="B241" s="71" t="s">
        <v>183</v>
      </c>
      <c r="C241" s="123">
        <f>H241*J241</f>
        <v>1849.56</v>
      </c>
      <c r="D241" s="344">
        <f>0.0296*12</f>
        <v>0.3552</v>
      </c>
      <c r="E241" s="124">
        <v>31619</v>
      </c>
      <c r="F241" s="124"/>
      <c r="G241" s="124"/>
      <c r="H241" s="77">
        <v>0.26</v>
      </c>
      <c r="I241" s="77"/>
      <c r="J241" s="99">
        <v>7113.7</v>
      </c>
      <c r="K241" s="345"/>
      <c r="L241" s="346">
        <f>M241*N241*O241</f>
        <v>2433.6</v>
      </c>
      <c r="M241" s="124">
        <v>0.2</v>
      </c>
      <c r="N241" s="124">
        <v>12</v>
      </c>
      <c r="O241" s="99">
        <v>1014</v>
      </c>
      <c r="P241" s="346">
        <f>Q241*S241*U241</f>
        <v>0</v>
      </c>
      <c r="Q241" s="124"/>
      <c r="R241" s="124"/>
      <c r="S241" s="124"/>
      <c r="T241" s="124"/>
      <c r="U241" s="99"/>
      <c r="V241" s="345"/>
      <c r="W241" s="500">
        <f>C241+K241+P241+V241</f>
        <v>1849.56</v>
      </c>
      <c r="X241" s="500"/>
      <c r="Y241" s="347"/>
      <c r="Z241" s="348"/>
      <c r="AA241" s="349"/>
      <c r="AB241" s="350"/>
      <c r="AC241" s="348"/>
      <c r="AD241" s="348"/>
      <c r="AE241" s="348"/>
      <c r="AF241" s="349"/>
      <c r="AG241" s="508"/>
      <c r="AH241" s="508"/>
      <c r="AI241" s="340"/>
    </row>
    <row r="242" spans="1:35" ht="26.25">
      <c r="A242" s="62">
        <v>3</v>
      </c>
      <c r="B242" s="71" t="s">
        <v>154</v>
      </c>
      <c r="C242" s="123">
        <f>H242*J242</f>
        <v>426.13</v>
      </c>
      <c r="D242" s="77"/>
      <c r="E242" s="124"/>
      <c r="F242" s="124"/>
      <c r="G242" s="124"/>
      <c r="H242" s="77">
        <v>0.36</v>
      </c>
      <c r="I242" s="77"/>
      <c r="J242" s="99">
        <v>1183.7</v>
      </c>
      <c r="K242" s="345">
        <v>0</v>
      </c>
      <c r="L242" s="346">
        <f>M242*N242*O242</f>
        <v>0</v>
      </c>
      <c r="M242" s="124"/>
      <c r="N242" s="124"/>
      <c r="O242" s="99"/>
      <c r="P242" s="346">
        <f>Q242*S242*U242</f>
        <v>0</v>
      </c>
      <c r="Q242" s="124">
        <v>0</v>
      </c>
      <c r="R242" s="124"/>
      <c r="S242" s="124">
        <v>0</v>
      </c>
      <c r="T242" s="124"/>
      <c r="U242" s="99">
        <v>0</v>
      </c>
      <c r="V242" s="345"/>
      <c r="W242" s="500">
        <f>C242+K242+P242+V242</f>
        <v>426.13</v>
      </c>
      <c r="X242" s="500"/>
      <c r="Y242" s="351"/>
      <c r="Z242" s="348"/>
      <c r="AA242" s="349"/>
      <c r="AB242" s="350"/>
      <c r="AC242" s="348"/>
      <c r="AD242" s="348"/>
      <c r="AE242" s="348"/>
      <c r="AF242" s="349"/>
      <c r="AG242" s="508"/>
      <c r="AH242" s="508"/>
      <c r="AI242" s="340"/>
    </row>
    <row r="243" spans="1:35" ht="12.75">
      <c r="A243" s="72">
        <v>4</v>
      </c>
      <c r="B243" s="71" t="s">
        <v>184</v>
      </c>
      <c r="C243" s="68" t="s">
        <v>143</v>
      </c>
      <c r="D243" s="68" t="s">
        <v>143</v>
      </c>
      <c r="E243" s="68" t="s">
        <v>143</v>
      </c>
      <c r="F243" s="68"/>
      <c r="G243" s="68"/>
      <c r="H243" s="68" t="s">
        <v>143</v>
      </c>
      <c r="I243" s="68"/>
      <c r="J243" s="342" t="s">
        <v>143</v>
      </c>
      <c r="K243" s="68" t="s">
        <v>143</v>
      </c>
      <c r="L243" s="68" t="s">
        <v>143</v>
      </c>
      <c r="M243" s="68" t="s">
        <v>143</v>
      </c>
      <c r="N243" s="68" t="s">
        <v>143</v>
      </c>
      <c r="O243" s="68" t="s">
        <v>143</v>
      </c>
      <c r="P243" s="68" t="s">
        <v>143</v>
      </c>
      <c r="Q243" s="68" t="s">
        <v>143</v>
      </c>
      <c r="R243" s="68"/>
      <c r="S243" s="68" t="s">
        <v>143</v>
      </c>
      <c r="T243" s="68"/>
      <c r="U243" s="68" t="s">
        <v>143</v>
      </c>
      <c r="V243" s="68" t="s">
        <v>143</v>
      </c>
      <c r="W243" s="502"/>
      <c r="X243" s="502"/>
      <c r="Y243" s="343"/>
      <c r="Z243" s="343"/>
      <c r="AA243" s="343"/>
      <c r="AB243" s="343"/>
      <c r="AC243" s="343"/>
      <c r="AD243" s="343"/>
      <c r="AE243" s="343"/>
      <c r="AF243" s="343"/>
      <c r="AG243" s="510"/>
      <c r="AH243" s="510"/>
      <c r="AI243" s="340"/>
    </row>
    <row r="244" spans="1:35" ht="12.75">
      <c r="A244" s="72">
        <v>5</v>
      </c>
      <c r="B244" s="71" t="s">
        <v>22</v>
      </c>
      <c r="C244" s="68" t="s">
        <v>143</v>
      </c>
      <c r="D244" s="68" t="s">
        <v>143</v>
      </c>
      <c r="E244" s="68" t="s">
        <v>143</v>
      </c>
      <c r="F244" s="68"/>
      <c r="G244" s="68"/>
      <c r="H244" s="68" t="s">
        <v>143</v>
      </c>
      <c r="I244" s="68"/>
      <c r="J244" s="342" t="s">
        <v>143</v>
      </c>
      <c r="K244" s="68" t="s">
        <v>143</v>
      </c>
      <c r="L244" s="68" t="s">
        <v>143</v>
      </c>
      <c r="M244" s="68" t="s">
        <v>143</v>
      </c>
      <c r="N244" s="68" t="s">
        <v>143</v>
      </c>
      <c r="O244" s="68" t="s">
        <v>143</v>
      </c>
      <c r="P244" s="68" t="s">
        <v>143</v>
      </c>
      <c r="Q244" s="68" t="s">
        <v>143</v>
      </c>
      <c r="R244" s="68"/>
      <c r="S244" s="68" t="s">
        <v>143</v>
      </c>
      <c r="T244" s="68"/>
      <c r="U244" s="68" t="s">
        <v>143</v>
      </c>
      <c r="V244" s="68" t="s">
        <v>143</v>
      </c>
      <c r="W244" s="544">
        <v>26.3</v>
      </c>
      <c r="X244" s="545"/>
      <c r="Y244" s="343"/>
      <c r="Z244" s="343"/>
      <c r="AA244" s="343"/>
      <c r="AB244" s="343"/>
      <c r="AC244" s="343"/>
      <c r="AD244" s="343"/>
      <c r="AE244" s="343"/>
      <c r="AF244" s="343"/>
      <c r="AG244" s="509"/>
      <c r="AH244" s="509"/>
      <c r="AI244" s="340"/>
    </row>
    <row r="245" spans="1:35" ht="12.75">
      <c r="A245" s="72">
        <v>6</v>
      </c>
      <c r="B245" s="71" t="s">
        <v>25</v>
      </c>
      <c r="C245" s="68" t="s">
        <v>143</v>
      </c>
      <c r="D245" s="68" t="s">
        <v>143</v>
      </c>
      <c r="E245" s="68" t="s">
        <v>143</v>
      </c>
      <c r="F245" s="68"/>
      <c r="G245" s="68"/>
      <c r="H245" s="68" t="s">
        <v>143</v>
      </c>
      <c r="I245" s="68"/>
      <c r="J245" s="342" t="s">
        <v>143</v>
      </c>
      <c r="K245" s="68" t="s">
        <v>143</v>
      </c>
      <c r="L245" s="68" t="s">
        <v>143</v>
      </c>
      <c r="M245" s="68" t="s">
        <v>143</v>
      </c>
      <c r="N245" s="68" t="s">
        <v>143</v>
      </c>
      <c r="O245" s="68" t="s">
        <v>143</v>
      </c>
      <c r="P245" s="68" t="s">
        <v>143</v>
      </c>
      <c r="Q245" s="68" t="s">
        <v>143</v>
      </c>
      <c r="R245" s="68"/>
      <c r="S245" s="68" t="s">
        <v>143</v>
      </c>
      <c r="T245" s="68"/>
      <c r="U245" s="68" t="s">
        <v>143</v>
      </c>
      <c r="V245" s="68" t="s">
        <v>143</v>
      </c>
      <c r="W245" s="507"/>
      <c r="X245" s="507"/>
      <c r="Y245" s="343"/>
      <c r="Z245" s="343"/>
      <c r="AA245" s="343"/>
      <c r="AB245" s="343"/>
      <c r="AC245" s="343"/>
      <c r="AD245" s="343"/>
      <c r="AE245" s="343"/>
      <c r="AF245" s="343"/>
      <c r="AG245" s="509"/>
      <c r="AH245" s="509"/>
      <c r="AI245" s="340"/>
    </row>
    <row r="246" spans="1:35" ht="12.75">
      <c r="A246" s="134"/>
      <c r="B246" s="135" t="s">
        <v>41</v>
      </c>
      <c r="C246" s="352">
        <f>C241+C242</f>
        <v>2275.7</v>
      </c>
      <c r="D246" s="133" t="s">
        <v>143</v>
      </c>
      <c r="E246" s="133" t="s">
        <v>143</v>
      </c>
      <c r="F246" s="133"/>
      <c r="G246" s="133"/>
      <c r="H246" s="133" t="s">
        <v>143</v>
      </c>
      <c r="I246" s="133"/>
      <c r="J246" s="342" t="s">
        <v>143</v>
      </c>
      <c r="K246" s="352">
        <f>K241+K242</f>
        <v>0</v>
      </c>
      <c r="L246" s="352">
        <f>L241+L242</f>
        <v>2433.6</v>
      </c>
      <c r="M246" s="133" t="s">
        <v>143</v>
      </c>
      <c r="N246" s="133" t="s">
        <v>143</v>
      </c>
      <c r="O246" s="133" t="s">
        <v>143</v>
      </c>
      <c r="P246" s="352">
        <f>P241+P242</f>
        <v>0</v>
      </c>
      <c r="Q246" s="133" t="s">
        <v>143</v>
      </c>
      <c r="R246" s="133"/>
      <c r="S246" s="133" t="s">
        <v>143</v>
      </c>
      <c r="T246" s="133"/>
      <c r="U246" s="133" t="s">
        <v>143</v>
      </c>
      <c r="V246" s="352">
        <f>V241+V242</f>
        <v>0</v>
      </c>
      <c r="W246" s="506">
        <f>W237+W241+W242+W243+W244+W245</f>
        <v>11166.29</v>
      </c>
      <c r="X246" s="506"/>
      <c r="Y246" s="353"/>
      <c r="Z246" s="353"/>
      <c r="AA246" s="354"/>
      <c r="AB246" s="354"/>
      <c r="AC246" s="353"/>
      <c r="AD246" s="353"/>
      <c r="AE246" s="353"/>
      <c r="AF246" s="354"/>
      <c r="AG246" s="508"/>
      <c r="AH246" s="508"/>
      <c r="AI246" s="340"/>
    </row>
    <row r="247" spans="1:35" ht="12.75">
      <c r="A247" s="65"/>
      <c r="B247" s="66"/>
      <c r="C247" s="66"/>
      <c r="D247" s="66"/>
      <c r="E247" s="66"/>
      <c r="F247" s="66"/>
      <c r="G247" s="66"/>
      <c r="H247" s="67"/>
      <c r="I247" s="67"/>
      <c r="J247" s="338"/>
      <c r="K247" s="67"/>
      <c r="L247" s="67"/>
      <c r="M247" s="66"/>
      <c r="N247" s="66"/>
      <c r="O247" s="66"/>
      <c r="Y247" s="355"/>
      <c r="Z247" s="356"/>
      <c r="AA247" s="340"/>
      <c r="AB247" s="340"/>
      <c r="AC247" s="340"/>
      <c r="AD247" s="340"/>
      <c r="AE247" s="340"/>
      <c r="AF247" s="340"/>
      <c r="AG247" s="340"/>
      <c r="AH247" s="340"/>
      <c r="AI247" s="340"/>
    </row>
    <row r="248" spans="1:26" ht="12.75">
      <c r="A248" s="65"/>
      <c r="B248" s="66"/>
      <c r="C248" s="66"/>
      <c r="D248" s="66"/>
      <c r="E248" s="66"/>
      <c r="F248" s="66"/>
      <c r="G248" s="66"/>
      <c r="H248" s="67"/>
      <c r="I248" s="67"/>
      <c r="J248" s="338"/>
      <c r="K248" s="67"/>
      <c r="L248" s="67"/>
      <c r="M248" s="66"/>
      <c r="N248" s="66"/>
      <c r="O248" s="66"/>
      <c r="Y248" s="66"/>
      <c r="Z248" s="65"/>
    </row>
    <row r="249" spans="1:26" ht="12.75">
      <c r="A249" s="65"/>
      <c r="B249" s="66"/>
      <c r="C249" s="66"/>
      <c r="D249" s="66"/>
      <c r="E249" s="66"/>
      <c r="F249" s="66"/>
      <c r="G249" s="66"/>
      <c r="H249" s="67"/>
      <c r="I249" s="67"/>
      <c r="J249" s="338"/>
      <c r="K249" s="67"/>
      <c r="L249" s="67"/>
      <c r="M249" s="66"/>
      <c r="N249" s="66"/>
      <c r="O249" s="66"/>
      <c r="Y249" s="66"/>
      <c r="Z249" s="65"/>
    </row>
    <row r="250" spans="1:26" ht="12.75">
      <c r="A250" s="65"/>
      <c r="B250" s="66"/>
      <c r="C250" s="66"/>
      <c r="D250" s="66"/>
      <c r="E250" s="66"/>
      <c r="F250" s="66"/>
      <c r="G250" s="66"/>
      <c r="H250" s="67"/>
      <c r="I250" s="67"/>
      <c r="J250" s="338"/>
      <c r="K250" s="67"/>
      <c r="L250" s="67"/>
      <c r="M250" s="66"/>
      <c r="N250" s="66"/>
      <c r="O250" s="66"/>
      <c r="Y250" s="66"/>
      <c r="Z250" s="65"/>
    </row>
    <row r="251" spans="1:26" ht="12.75">
      <c r="A251" s="65"/>
      <c r="B251" s="66"/>
      <c r="C251" s="66"/>
      <c r="D251" s="66"/>
      <c r="E251" s="66"/>
      <c r="F251" s="66"/>
      <c r="G251" s="66"/>
      <c r="H251" s="67"/>
      <c r="I251" s="67"/>
      <c r="J251" s="338"/>
      <c r="K251" s="67"/>
      <c r="L251" s="67"/>
      <c r="M251" s="66"/>
      <c r="N251" s="66"/>
      <c r="O251" s="66"/>
      <c r="Y251" s="66"/>
      <c r="Z251" s="65"/>
    </row>
    <row r="252" spans="1:26" ht="12.75">
      <c r="A252" s="65"/>
      <c r="B252" s="66"/>
      <c r="C252" s="66"/>
      <c r="D252" s="66"/>
      <c r="E252" s="66"/>
      <c r="F252" s="66"/>
      <c r="G252" s="66"/>
      <c r="H252" s="67"/>
      <c r="I252" s="67"/>
      <c r="J252" s="338"/>
      <c r="K252" s="67"/>
      <c r="L252" s="67"/>
      <c r="M252" s="66"/>
      <c r="N252" s="66"/>
      <c r="O252" s="66"/>
      <c r="Y252" s="66"/>
      <c r="Z252" s="65"/>
    </row>
    <row r="253" spans="1:26" ht="12.75">
      <c r="A253" s="65"/>
      <c r="B253" s="66"/>
      <c r="C253" s="66"/>
      <c r="D253" s="66"/>
      <c r="E253" s="66"/>
      <c r="F253" s="66"/>
      <c r="G253" s="66"/>
      <c r="H253" s="67"/>
      <c r="I253" s="67"/>
      <c r="J253" s="338"/>
      <c r="K253" s="67"/>
      <c r="L253" s="67"/>
      <c r="M253" s="66"/>
      <c r="N253" s="66"/>
      <c r="O253" s="66"/>
      <c r="Y253" s="66"/>
      <c r="Z253" s="65"/>
    </row>
    <row r="254" spans="1:26" ht="12.75">
      <c r="A254" s="65"/>
      <c r="B254" s="66"/>
      <c r="C254" s="66"/>
      <c r="D254" s="66"/>
      <c r="E254" s="66"/>
      <c r="F254" s="66"/>
      <c r="G254" s="66"/>
      <c r="H254" s="67"/>
      <c r="I254" s="67"/>
      <c r="J254" s="338"/>
      <c r="K254" s="67"/>
      <c r="L254" s="67"/>
      <c r="M254" s="66"/>
      <c r="N254" s="66"/>
      <c r="O254" s="66"/>
      <c r="Y254" s="66"/>
      <c r="Z254" s="65"/>
    </row>
    <row r="255" spans="1:26" ht="12.75">
      <c r="A255" s="65"/>
      <c r="B255" s="66"/>
      <c r="C255" s="66"/>
      <c r="D255" s="66"/>
      <c r="E255" s="66"/>
      <c r="F255" s="66"/>
      <c r="G255" s="66"/>
      <c r="H255" s="67"/>
      <c r="I255" s="67"/>
      <c r="J255" s="338"/>
      <c r="K255" s="67"/>
      <c r="L255" s="67"/>
      <c r="M255" s="66"/>
      <c r="N255" s="66"/>
      <c r="O255" s="66"/>
      <c r="Y255" s="66"/>
      <c r="Z255" s="65"/>
    </row>
    <row r="256" spans="1:26" ht="12.75">
      <c r="A256" s="65"/>
      <c r="B256" s="66"/>
      <c r="C256" s="66"/>
      <c r="D256" s="66"/>
      <c r="E256" s="66"/>
      <c r="F256" s="66"/>
      <c r="G256" s="66"/>
      <c r="H256" s="67"/>
      <c r="I256" s="67"/>
      <c r="J256" s="338"/>
      <c r="K256" s="67"/>
      <c r="L256" s="67"/>
      <c r="M256" s="66"/>
      <c r="N256" s="66"/>
      <c r="O256" s="66"/>
      <c r="Y256" s="66"/>
      <c r="Z256" s="65"/>
    </row>
    <row r="257" spans="1:26" ht="18">
      <c r="A257" s="65"/>
      <c r="B257" s="131" t="s">
        <v>144</v>
      </c>
      <c r="C257" s="66"/>
      <c r="D257" s="66"/>
      <c r="E257" s="66"/>
      <c r="F257" s="66"/>
      <c r="G257" s="66"/>
      <c r="H257" s="67"/>
      <c r="I257" s="67"/>
      <c r="J257" s="338"/>
      <c r="K257" s="67"/>
      <c r="L257" s="67"/>
      <c r="M257" s="66"/>
      <c r="N257" s="66"/>
      <c r="O257" s="66"/>
      <c r="Y257" s="66"/>
      <c r="Z257" s="65"/>
    </row>
    <row r="258" spans="1:26" ht="18">
      <c r="A258" s="65"/>
      <c r="B258" s="131"/>
      <c r="C258" s="66"/>
      <c r="D258" s="66"/>
      <c r="E258" s="66"/>
      <c r="F258" s="66"/>
      <c r="G258" s="66"/>
      <c r="H258" s="67"/>
      <c r="I258" s="67"/>
      <c r="J258" s="338"/>
      <c r="K258" s="67"/>
      <c r="L258" s="67"/>
      <c r="M258" s="66"/>
      <c r="N258" s="66"/>
      <c r="O258" s="66"/>
      <c r="Y258" s="66"/>
      <c r="Z258" s="65"/>
    </row>
    <row r="259" spans="1:26" ht="18">
      <c r="A259" s="65"/>
      <c r="B259" s="131"/>
      <c r="C259" s="66"/>
      <c r="D259" s="66"/>
      <c r="E259" s="66"/>
      <c r="F259" s="66"/>
      <c r="G259" s="66"/>
      <c r="H259" s="67"/>
      <c r="I259" s="67"/>
      <c r="J259" s="338"/>
      <c r="K259" s="67"/>
      <c r="L259" s="67"/>
      <c r="M259" s="66"/>
      <c r="N259" s="66"/>
      <c r="O259" s="66"/>
      <c r="Y259" s="66"/>
      <c r="Z259" s="65"/>
    </row>
    <row r="260" spans="1:26" ht="18">
      <c r="A260" s="65"/>
      <c r="B260" s="131"/>
      <c r="C260" s="66"/>
      <c r="D260" s="66"/>
      <c r="E260" s="66"/>
      <c r="F260" s="66"/>
      <c r="G260" s="66"/>
      <c r="H260" s="67"/>
      <c r="I260" s="67"/>
      <c r="J260" s="338"/>
      <c r="K260" s="67"/>
      <c r="L260" s="67"/>
      <c r="M260" s="66"/>
      <c r="N260" s="66"/>
      <c r="O260" s="66"/>
      <c r="Y260" s="66"/>
      <c r="Z260" s="65"/>
    </row>
    <row r="261" spans="1:26" ht="18">
      <c r="A261" s="65"/>
      <c r="B261" s="131"/>
      <c r="C261" s="66"/>
      <c r="D261" s="66"/>
      <c r="E261" s="66"/>
      <c r="F261" s="66"/>
      <c r="G261" s="66"/>
      <c r="H261" s="67"/>
      <c r="I261" s="67"/>
      <c r="J261" s="338"/>
      <c r="K261" s="67"/>
      <c r="L261" s="67"/>
      <c r="M261" s="66"/>
      <c r="N261" s="66"/>
      <c r="O261" s="66"/>
      <c r="Y261" s="66"/>
      <c r="Z261" s="65"/>
    </row>
    <row r="262" ht="18">
      <c r="B262" s="132"/>
    </row>
    <row r="263" ht="18">
      <c r="B263" s="132"/>
    </row>
    <row r="264" ht="18">
      <c r="B264" s="132"/>
    </row>
    <row r="265" ht="18">
      <c r="B265" s="132" t="s">
        <v>146</v>
      </c>
    </row>
    <row r="266" ht="18">
      <c r="B266" s="132" t="s">
        <v>145</v>
      </c>
    </row>
  </sheetData>
  <sheetProtection/>
  <mergeCells count="90">
    <mergeCell ref="W245:X245"/>
    <mergeCell ref="AG245:AH245"/>
    <mergeCell ref="W246:X246"/>
    <mergeCell ref="AG246:AH246"/>
    <mergeCell ref="W242:X242"/>
    <mergeCell ref="AG242:AH242"/>
    <mergeCell ref="W243:X243"/>
    <mergeCell ref="AG243:AH243"/>
    <mergeCell ref="W244:X244"/>
    <mergeCell ref="AG244:AH244"/>
    <mergeCell ref="W239:X239"/>
    <mergeCell ref="AG239:AH239"/>
    <mergeCell ref="W240:X240"/>
    <mergeCell ref="AG240:AH240"/>
    <mergeCell ref="W241:X241"/>
    <mergeCell ref="AG241:AH241"/>
    <mergeCell ref="AG235:AH235"/>
    <mergeCell ref="W236:X236"/>
    <mergeCell ref="AG236:AH236"/>
    <mergeCell ref="W237:X237"/>
    <mergeCell ref="AG237:AH237"/>
    <mergeCell ref="W238:X238"/>
    <mergeCell ref="AG238:AH238"/>
    <mergeCell ref="A223:E223"/>
    <mergeCell ref="N223:Y223"/>
    <mergeCell ref="A227:E227"/>
    <mergeCell ref="O227:Y227"/>
    <mergeCell ref="A233:X233"/>
    <mergeCell ref="W235:X235"/>
    <mergeCell ref="L215:O215"/>
    <mergeCell ref="L216:O216"/>
    <mergeCell ref="L217:O217"/>
    <mergeCell ref="A219:Y219"/>
    <mergeCell ref="A220:J220"/>
    <mergeCell ref="N220:Y220"/>
    <mergeCell ref="L209:O209"/>
    <mergeCell ref="L210:O210"/>
    <mergeCell ref="L211:O211"/>
    <mergeCell ref="L212:O212"/>
    <mergeCell ref="L213:O213"/>
    <mergeCell ref="L214:O214"/>
    <mergeCell ref="L207:O207"/>
    <mergeCell ref="L203:O204"/>
    <mergeCell ref="P203:V203"/>
    <mergeCell ref="W203:W204"/>
    <mergeCell ref="X203:X204"/>
    <mergeCell ref="L208:O208"/>
    <mergeCell ref="J203:J204"/>
    <mergeCell ref="K203:K204"/>
    <mergeCell ref="F203:F204"/>
    <mergeCell ref="Y203:Y204"/>
    <mergeCell ref="L205:O205"/>
    <mergeCell ref="L206:O206"/>
    <mergeCell ref="A203:A204"/>
    <mergeCell ref="B203:B204"/>
    <mergeCell ref="C203:C204"/>
    <mergeCell ref="D203:D204"/>
    <mergeCell ref="E203:E204"/>
    <mergeCell ref="H203:H204"/>
    <mergeCell ref="B190:C190"/>
    <mergeCell ref="B191:C191"/>
    <mergeCell ref="B192:C192"/>
    <mergeCell ref="B200:Y200"/>
    <mergeCell ref="A201:B201"/>
    <mergeCell ref="A202:Y202"/>
    <mergeCell ref="Y9:Y11"/>
    <mergeCell ref="Y12:Y13"/>
    <mergeCell ref="Y21:Y24"/>
    <mergeCell ref="Y29:Y30"/>
    <mergeCell ref="B188:C188"/>
    <mergeCell ref="B189:C189"/>
    <mergeCell ref="B4:B7"/>
    <mergeCell ref="C4:C7"/>
    <mergeCell ref="J4:X4"/>
    <mergeCell ref="J5:K5"/>
    <mergeCell ref="P5:X5"/>
    <mergeCell ref="J6:J7"/>
    <mergeCell ref="K6:K7"/>
    <mergeCell ref="P6:Q6"/>
    <mergeCell ref="S6:X6"/>
    <mergeCell ref="F4:I4"/>
    <mergeCell ref="F5:F7"/>
    <mergeCell ref="G5:G7"/>
    <mergeCell ref="H5:H7"/>
    <mergeCell ref="A1:Y2"/>
    <mergeCell ref="A3:D3"/>
    <mergeCell ref="E3:L3"/>
    <mergeCell ref="M3:X3"/>
    <mergeCell ref="Y3:Y7"/>
    <mergeCell ref="A4:A7"/>
  </mergeCells>
  <printOptions/>
  <pageMargins left="0" right="0" top="0" bottom="0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2011-12-12T04:39:43Z</cp:lastPrinted>
  <dcterms:created xsi:type="dcterms:W3CDTF">2005-04-04T07:20:20Z</dcterms:created>
  <dcterms:modified xsi:type="dcterms:W3CDTF">2012-02-14T02:19:22Z</dcterms:modified>
  <cp:category/>
  <cp:version/>
  <cp:contentType/>
  <cp:contentStatus/>
</cp:coreProperties>
</file>